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iba\Desktop\"/>
    </mc:Choice>
  </mc:AlternateContent>
  <xr:revisionPtr revIDLastSave="0" documentId="8_{B0E15538-22FA-4E6F-918C-9158B05F1737}" xr6:coauthVersionLast="47" xr6:coauthVersionMax="47" xr10:uidLastSave="{00000000-0000-0000-0000-000000000000}"/>
  <bookViews>
    <workbookView xWindow="-120" yWindow="-120" windowWidth="29040" windowHeight="17640" tabRatio="846" activeTab="6" xr2:uid="{00000000-000D-0000-FFFF-FFFF00000000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  <sheet name="10a" sheetId="12" r:id="rId12"/>
    <sheet name="11a" sheetId="13" r:id="rId13"/>
    <sheet name="12a" sheetId="14" r:id="rId14"/>
  </sheet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3" l="1"/>
  <c r="N33" i="13"/>
  <c r="L34" i="13"/>
  <c r="N34" i="13"/>
  <c r="L35" i="13"/>
  <c r="N35" i="13"/>
  <c r="K36" i="13"/>
  <c r="L36" i="13"/>
  <c r="M36" i="13"/>
  <c r="N36" i="13"/>
  <c r="O36" i="13"/>
  <c r="L37" i="13"/>
  <c r="N37" i="13"/>
  <c r="L38" i="13"/>
  <c r="N38" i="13"/>
  <c r="L39" i="13"/>
  <c r="N39" i="13"/>
  <c r="H39" i="13"/>
  <c r="O39" i="13" s="1"/>
  <c r="H38" i="13"/>
  <c r="O38" i="13" s="1"/>
  <c r="H37" i="13"/>
  <c r="M37" i="13" s="1"/>
  <c r="H35" i="13"/>
  <c r="O35" i="13" s="1"/>
  <c r="H34" i="13"/>
  <c r="O34" i="13" s="1"/>
  <c r="H33" i="13"/>
  <c r="O33" i="13" s="1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5" i="14"/>
  <c r="J15" i="14" s="1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60" i="12"/>
  <c r="J60" i="12" s="1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5" i="12"/>
  <c r="H89" i="11"/>
  <c r="H87" i="11"/>
  <c r="H86" i="11"/>
  <c r="H85" i="11"/>
  <c r="H84" i="11"/>
  <c r="E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E59" i="11"/>
  <c r="E60" i="11" s="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5" i="11"/>
  <c r="H95" i="10"/>
  <c r="H93" i="10"/>
  <c r="H92" i="10"/>
  <c r="H91" i="10"/>
  <c r="H90" i="10"/>
  <c r="H89" i="10"/>
  <c r="H88" i="10"/>
  <c r="H87" i="10"/>
  <c r="H86" i="10"/>
  <c r="H85" i="10"/>
  <c r="H83" i="10"/>
  <c r="H82" i="10"/>
  <c r="H81" i="10"/>
  <c r="H80" i="10"/>
  <c r="H79" i="10"/>
  <c r="H78" i="10"/>
  <c r="H77" i="10"/>
  <c r="H76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6" i="10"/>
  <c r="H15" i="10"/>
  <c r="H35" i="9"/>
  <c r="H34" i="9"/>
  <c r="H31" i="9"/>
  <c r="H27" i="9"/>
  <c r="H23" i="9"/>
  <c r="H19" i="9"/>
  <c r="H18" i="9"/>
  <c r="H16" i="9"/>
  <c r="H15" i="9"/>
  <c r="E15" i="9"/>
  <c r="E19" i="9" s="1"/>
  <c r="H26" i="8"/>
  <c r="E26" i="8"/>
  <c r="H25" i="8"/>
  <c r="H24" i="8"/>
  <c r="H18" i="8"/>
  <c r="H16" i="8"/>
  <c r="H15" i="8"/>
  <c r="E15" i="8"/>
  <c r="E16" i="8" s="1"/>
  <c r="E18" i="8" s="1"/>
  <c r="M33" i="13" l="1"/>
  <c r="P33" i="13" s="1"/>
  <c r="K34" i="13"/>
  <c r="M38" i="13"/>
  <c r="P38" i="13" s="1"/>
  <c r="M35" i="13"/>
  <c r="P35" i="13" s="1"/>
  <c r="O37" i="13"/>
  <c r="P37" i="13" s="1"/>
  <c r="K39" i="13"/>
  <c r="M34" i="13"/>
  <c r="P34" i="13" s="1"/>
  <c r="K33" i="13"/>
  <c r="M39" i="13"/>
  <c r="P39" i="13" s="1"/>
  <c r="K38" i="13"/>
  <c r="P36" i="13"/>
  <c r="K35" i="13"/>
  <c r="E82" i="11"/>
  <c r="E20" i="9"/>
  <c r="E21" i="9"/>
  <c r="E25" i="9"/>
  <c r="E27" i="9"/>
  <c r="E24" i="9"/>
  <c r="E22" i="8"/>
  <c r="E20" i="8"/>
  <c r="E23" i="8"/>
  <c r="E19" i="8"/>
  <c r="E79" i="7"/>
  <c r="H78" i="7"/>
  <c r="E75" i="7"/>
  <c r="E76" i="7" s="1"/>
  <c r="H74" i="7"/>
  <c r="E74" i="7"/>
  <c r="H67" i="7"/>
  <c r="E67" i="7"/>
  <c r="E66" i="7"/>
  <c r="E65" i="7"/>
  <c r="E64" i="7"/>
  <c r="E63" i="7"/>
  <c r="H61" i="7"/>
  <c r="E60" i="7"/>
  <c r="E59" i="7"/>
  <c r="E58" i="7"/>
  <c r="E57" i="7"/>
  <c r="H55" i="7"/>
  <c r="E53" i="7"/>
  <c r="H52" i="7"/>
  <c r="E51" i="7"/>
  <c r="E50" i="7"/>
  <c r="E49" i="7"/>
  <c r="E54" i="7" s="1"/>
  <c r="E48" i="7"/>
  <c r="H46" i="7"/>
  <c r="E44" i="7"/>
  <c r="E43" i="7"/>
  <c r="E41" i="7"/>
  <c r="E39" i="7"/>
  <c r="E40" i="7" s="1"/>
  <c r="H38" i="7"/>
  <c r="E36" i="7"/>
  <c r="H35" i="7"/>
  <c r="H31" i="7"/>
  <c r="E31" i="7"/>
  <c r="H25" i="7"/>
  <c r="E25" i="7"/>
  <c r="H23" i="7"/>
  <c r="H22" i="7"/>
  <c r="H21" i="7"/>
  <c r="H20" i="7"/>
  <c r="H19" i="7"/>
  <c r="H18" i="7"/>
  <c r="H17" i="7"/>
  <c r="H16" i="7"/>
  <c r="H15" i="7"/>
  <c r="H30" i="6"/>
  <c r="H26" i="6"/>
  <c r="E26" i="6"/>
  <c r="E30" i="6" s="1"/>
  <c r="H22" i="6"/>
  <c r="H18" i="6"/>
  <c r="H17" i="6"/>
  <c r="E17" i="6"/>
  <c r="E18" i="6" s="1"/>
  <c r="H15" i="6"/>
  <c r="H130" i="5"/>
  <c r="H129" i="5"/>
  <c r="H128" i="5"/>
  <c r="E126" i="5"/>
  <c r="H122" i="5"/>
  <c r="E122" i="5"/>
  <c r="H119" i="5"/>
  <c r="H116" i="5"/>
  <c r="E116" i="5"/>
  <c r="E117" i="5" s="1"/>
  <c r="H115" i="5"/>
  <c r="H114" i="5"/>
  <c r="E114" i="5"/>
  <c r="E119" i="5" s="1"/>
  <c r="H110" i="5"/>
  <c r="E110" i="5"/>
  <c r="E111" i="5" s="1"/>
  <c r="H108" i="5"/>
  <c r="E109" i="5"/>
  <c r="H106" i="5"/>
  <c r="E106" i="5"/>
  <c r="E107" i="5" s="1"/>
  <c r="E105" i="5"/>
  <c r="E104" i="5"/>
  <c r="H103" i="5"/>
  <c r="E103" i="5"/>
  <c r="H101" i="5"/>
  <c r="E101" i="5"/>
  <c r="E102" i="5" s="1"/>
  <c r="H97" i="5"/>
  <c r="H94" i="5"/>
  <c r="H89" i="5"/>
  <c r="E94" i="5"/>
  <c r="H85" i="5"/>
  <c r="E85" i="5"/>
  <c r="E83" i="5"/>
  <c r="H82" i="5"/>
  <c r="E78" i="5"/>
  <c r="H76" i="5"/>
  <c r="E76" i="5"/>
  <c r="E74" i="5"/>
  <c r="E73" i="5"/>
  <c r="H72" i="5"/>
  <c r="H68" i="5"/>
  <c r="H65" i="5"/>
  <c r="H59" i="5"/>
  <c r="E58" i="5"/>
  <c r="E57" i="5"/>
  <c r="H56" i="5"/>
  <c r="H51" i="5"/>
  <c r="H48" i="5"/>
  <c r="E48" i="5"/>
  <c r="E62" i="5" s="1"/>
  <c r="H44" i="5"/>
  <c r="H41" i="5"/>
  <c r="E41" i="5"/>
  <c r="E44" i="5" s="1"/>
  <c r="H36" i="5"/>
  <c r="E33" i="5"/>
  <c r="E32" i="5"/>
  <c r="H31" i="5"/>
  <c r="H30" i="5"/>
  <c r="E30" i="5"/>
  <c r="E36" i="5" s="1"/>
  <c r="H24" i="5"/>
  <c r="E24" i="5"/>
  <c r="E27" i="5" s="1"/>
  <c r="H22" i="5"/>
  <c r="H21" i="5"/>
  <c r="H20" i="5"/>
  <c r="E20" i="5"/>
  <c r="E21" i="5" s="1"/>
  <c r="H19" i="5"/>
  <c r="H18" i="5"/>
  <c r="H17" i="5"/>
  <c r="E17" i="5"/>
  <c r="H16" i="5"/>
  <c r="H15" i="5"/>
  <c r="H104" i="4"/>
  <c r="H100" i="4"/>
  <c r="E100" i="4"/>
  <c r="H96" i="4"/>
  <c r="E96" i="4"/>
  <c r="H92" i="4"/>
  <c r="E92" i="4"/>
  <c r="E93" i="4" s="1"/>
  <c r="H90" i="4"/>
  <c r="H87" i="4"/>
  <c r="E87" i="4"/>
  <c r="E88" i="4" s="1"/>
  <c r="H85" i="4"/>
  <c r="E82" i="4"/>
  <c r="H81" i="4"/>
  <c r="E79" i="4"/>
  <c r="H78" i="4"/>
  <c r="H74" i="4"/>
  <c r="H71" i="4"/>
  <c r="E71" i="4"/>
  <c r="E72" i="4" s="1"/>
  <c r="H68" i="4"/>
  <c r="E68" i="4"/>
  <c r="E69" i="4" s="1"/>
  <c r="E66" i="4"/>
  <c r="H65" i="4"/>
  <c r="H62" i="4"/>
  <c r="H59" i="4"/>
  <c r="E59" i="4"/>
  <c r="E60" i="4" s="1"/>
  <c r="H56" i="4"/>
  <c r="E56" i="4"/>
  <c r="E57" i="4" s="1"/>
  <c r="H53" i="4"/>
  <c r="E53" i="4"/>
  <c r="E62" i="4" s="1"/>
  <c r="E63" i="4" s="1"/>
  <c r="H50" i="4"/>
  <c r="E50" i="4"/>
  <c r="E51" i="4" s="1"/>
  <c r="H48" i="4"/>
  <c r="H45" i="4"/>
  <c r="H42" i="4"/>
  <c r="E42" i="4"/>
  <c r="E43" i="4" s="1"/>
  <c r="H39" i="4"/>
  <c r="E39" i="4"/>
  <c r="E40" i="4" s="1"/>
  <c r="H36" i="4"/>
  <c r="E36" i="4"/>
  <c r="H35" i="4"/>
  <c r="H32" i="4"/>
  <c r="H29" i="4"/>
  <c r="E29" i="4"/>
  <c r="E30" i="4" s="1"/>
  <c r="H26" i="4"/>
  <c r="E26" i="4"/>
  <c r="E27" i="4" s="1"/>
  <c r="H23" i="4"/>
  <c r="H22" i="4"/>
  <c r="H20" i="4"/>
  <c r="H19" i="4"/>
  <c r="H18" i="4"/>
  <c r="E85" i="4"/>
  <c r="H17" i="4"/>
  <c r="H16" i="4"/>
  <c r="H15" i="4"/>
  <c r="E15" i="4"/>
  <c r="E23" i="4" s="1"/>
  <c r="H37" i="3"/>
  <c r="E37" i="3"/>
  <c r="H34" i="3"/>
  <c r="E34" i="3"/>
  <c r="E35" i="3" s="1"/>
  <c r="H30" i="3"/>
  <c r="H26" i="3"/>
  <c r="H23" i="3"/>
  <c r="H18" i="3"/>
  <c r="H17" i="3"/>
  <c r="H15" i="3"/>
  <c r="E15" i="3"/>
  <c r="E30" i="3" s="1"/>
  <c r="P10" i="5"/>
  <c r="K37" i="13" l="1"/>
  <c r="E49" i="5"/>
  <c r="E31" i="9"/>
  <c r="E29" i="9"/>
  <c r="E28" i="9"/>
  <c r="E71" i="7"/>
  <c r="E70" i="7"/>
  <c r="E72" i="7"/>
  <c r="E69" i="7"/>
  <c r="E27" i="6"/>
  <c r="E28" i="6"/>
  <c r="E32" i="6"/>
  <c r="E20" i="6"/>
  <c r="E22" i="6"/>
  <c r="E31" i="6"/>
  <c r="E19" i="6"/>
  <c r="E31" i="5"/>
  <c r="E86" i="5"/>
  <c r="E59" i="5"/>
  <c r="E60" i="5" s="1"/>
  <c r="E112" i="5"/>
  <c r="E97" i="5"/>
  <c r="E95" i="5"/>
  <c r="E37" i="5"/>
  <c r="E40" i="5"/>
  <c r="E38" i="5"/>
  <c r="E45" i="5"/>
  <c r="E120" i="5"/>
  <c r="E26" i="5"/>
  <c r="E77" i="5"/>
  <c r="E79" i="5"/>
  <c r="E81" i="5"/>
  <c r="E91" i="5"/>
  <c r="E93" i="5"/>
  <c r="E115" i="5"/>
  <c r="E123" i="5"/>
  <c r="E25" i="5"/>
  <c r="E42" i="5"/>
  <c r="E90" i="5"/>
  <c r="E54" i="4"/>
  <c r="E74" i="4"/>
  <c r="E75" i="4" s="1"/>
  <c r="E104" i="4"/>
  <c r="E105" i="4" s="1"/>
  <c r="E102" i="4"/>
  <c r="E97" i="4"/>
  <c r="E101" i="4"/>
  <c r="E24" i="4"/>
  <c r="E32" i="4"/>
  <c r="E33" i="4" s="1"/>
  <c r="E86" i="4"/>
  <c r="E91" i="4"/>
  <c r="E37" i="4"/>
  <c r="E45" i="4"/>
  <c r="E98" i="4"/>
  <c r="E38" i="3"/>
  <c r="E32" i="3"/>
  <c r="E31" i="3"/>
  <c r="E17" i="3"/>
  <c r="E18" i="3" s="1"/>
  <c r="P10" i="3"/>
  <c r="P10" i="14"/>
  <c r="P10" i="12"/>
  <c r="P10" i="10"/>
  <c r="P10" i="8"/>
  <c r="P10" i="6"/>
  <c r="P10" i="4"/>
  <c r="P10" i="13"/>
  <c r="P10" i="11"/>
  <c r="P10" i="9"/>
  <c r="P10" i="7"/>
  <c r="C24" i="2"/>
  <c r="D9" i="2"/>
  <c r="D8" i="2"/>
  <c r="D7" i="2"/>
  <c r="D6" i="2"/>
  <c r="E32" i="9" l="1"/>
  <c r="E24" i="6"/>
  <c r="E23" i="6"/>
  <c r="E34" i="5"/>
  <c r="L34" i="5" s="1"/>
  <c r="E54" i="5"/>
  <c r="L54" i="5" s="1"/>
  <c r="E64" i="5"/>
  <c r="L64" i="5" s="1"/>
  <c r="N63" i="5"/>
  <c r="E18" i="5"/>
  <c r="E19" i="5" s="1"/>
  <c r="N19" i="5" s="1"/>
  <c r="E61" i="5"/>
  <c r="L61" i="5" s="1"/>
  <c r="E65" i="5"/>
  <c r="N67" i="5" s="1"/>
  <c r="N55" i="5"/>
  <c r="N99" i="5"/>
  <c r="E98" i="5"/>
  <c r="L98" i="5" s="1"/>
  <c r="E106" i="4"/>
  <c r="N106" i="4" s="1"/>
  <c r="E76" i="4"/>
  <c r="N76" i="4" s="1"/>
  <c r="E47" i="4"/>
  <c r="N47" i="4" s="1"/>
  <c r="E46" i="4"/>
  <c r="L46" i="4" s="1"/>
  <c r="E23" i="3"/>
  <c r="E19" i="3"/>
  <c r="E22" i="3"/>
  <c r="E20" i="3"/>
  <c r="D7" i="14"/>
  <c r="D7" i="13"/>
  <c r="D7" i="12"/>
  <c r="D7" i="11"/>
  <c r="D7" i="10"/>
  <c r="D7" i="9"/>
  <c r="D7" i="8"/>
  <c r="D7" i="7"/>
  <c r="D7" i="6"/>
  <c r="D7" i="5"/>
  <c r="D7" i="4"/>
  <c r="D8" i="14"/>
  <c r="D8" i="13"/>
  <c r="D8" i="12"/>
  <c r="D8" i="11"/>
  <c r="D8" i="10"/>
  <c r="D8" i="9"/>
  <c r="D8" i="8"/>
  <c r="D8" i="7"/>
  <c r="D8" i="6"/>
  <c r="D8" i="5"/>
  <c r="D8" i="4"/>
  <c r="D5" i="14"/>
  <c r="D5" i="13"/>
  <c r="D5" i="12"/>
  <c r="D5" i="11"/>
  <c r="D5" i="10"/>
  <c r="D5" i="9"/>
  <c r="D5" i="8"/>
  <c r="D5" i="7"/>
  <c r="D5" i="6"/>
  <c r="D5" i="5"/>
  <c r="D5" i="4"/>
  <c r="D6" i="14"/>
  <c r="D6" i="13"/>
  <c r="D6" i="12"/>
  <c r="D6" i="11"/>
  <c r="D6" i="10"/>
  <c r="D6" i="9"/>
  <c r="D6" i="8"/>
  <c r="D6" i="7"/>
  <c r="D6" i="6"/>
  <c r="D6" i="5"/>
  <c r="D6" i="4"/>
  <c r="D6" i="3"/>
  <c r="D7" i="3"/>
  <c r="D5" i="3"/>
  <c r="D8" i="3"/>
  <c r="L26" i="6"/>
  <c r="L30" i="6"/>
  <c r="L19" i="14"/>
  <c r="N15" i="4"/>
  <c r="N17" i="4"/>
  <c r="N18" i="4"/>
  <c r="N19" i="4"/>
  <c r="N21" i="4"/>
  <c r="N23" i="4"/>
  <c r="N24" i="4"/>
  <c r="N25" i="4"/>
  <c r="N27" i="4"/>
  <c r="N28" i="4"/>
  <c r="N29" i="4"/>
  <c r="N31" i="4"/>
  <c r="N32" i="4"/>
  <c r="N33" i="4"/>
  <c r="N35" i="4"/>
  <c r="N36" i="4"/>
  <c r="N37" i="4"/>
  <c r="N39" i="4"/>
  <c r="N40" i="4"/>
  <c r="N41" i="4"/>
  <c r="N43" i="4"/>
  <c r="N44" i="4"/>
  <c r="N45" i="4"/>
  <c r="N48" i="4"/>
  <c r="N49" i="4"/>
  <c r="N50" i="4"/>
  <c r="N51" i="4"/>
  <c r="N53" i="4"/>
  <c r="N54" i="4"/>
  <c r="N55" i="4"/>
  <c r="N57" i="4"/>
  <c r="N58" i="4"/>
  <c r="N59" i="4"/>
  <c r="N61" i="4"/>
  <c r="N62" i="4"/>
  <c r="N63" i="4"/>
  <c r="N65" i="4"/>
  <c r="N66" i="4"/>
  <c r="N67" i="4"/>
  <c r="N69" i="4"/>
  <c r="N70" i="4"/>
  <c r="N71" i="4"/>
  <c r="N73" i="4"/>
  <c r="N74" i="4"/>
  <c r="N75" i="4"/>
  <c r="N77" i="4"/>
  <c r="N79" i="4"/>
  <c r="N80" i="4"/>
  <c r="N81" i="4"/>
  <c r="N83" i="4"/>
  <c r="N85" i="4"/>
  <c r="N86" i="4"/>
  <c r="N87" i="4"/>
  <c r="N89" i="4"/>
  <c r="N90" i="4"/>
  <c r="N91" i="4"/>
  <c r="N93" i="4"/>
  <c r="N94" i="4"/>
  <c r="N95" i="4"/>
  <c r="N96" i="4"/>
  <c r="N97" i="4"/>
  <c r="N99" i="4"/>
  <c r="N100" i="4"/>
  <c r="N101" i="4"/>
  <c r="N103" i="4"/>
  <c r="N104" i="4"/>
  <c r="N105" i="4"/>
  <c r="N107" i="4"/>
  <c r="N15" i="5"/>
  <c r="N16" i="5"/>
  <c r="N17" i="5"/>
  <c r="N20" i="5"/>
  <c r="N21" i="5"/>
  <c r="N23" i="5"/>
  <c r="N25" i="5"/>
  <c r="N26" i="5"/>
  <c r="N27" i="5"/>
  <c r="N29" i="5"/>
  <c r="N31" i="5"/>
  <c r="N32" i="5"/>
  <c r="N33" i="5"/>
  <c r="N35" i="5"/>
  <c r="N36" i="5"/>
  <c r="N37" i="5"/>
  <c r="N39" i="5"/>
  <c r="N40" i="5"/>
  <c r="N41" i="5"/>
  <c r="N43" i="5"/>
  <c r="N44" i="5"/>
  <c r="N45" i="5"/>
  <c r="N47" i="5"/>
  <c r="N48" i="5"/>
  <c r="N49" i="5"/>
  <c r="N51" i="5"/>
  <c r="N52" i="5"/>
  <c r="N53" i="5"/>
  <c r="N56" i="5"/>
  <c r="N57" i="5"/>
  <c r="N59" i="5"/>
  <c r="N60" i="5"/>
  <c r="N71" i="5"/>
  <c r="N73" i="5"/>
  <c r="N74" i="5"/>
  <c r="N75" i="5"/>
  <c r="N77" i="5"/>
  <c r="N78" i="5"/>
  <c r="N79" i="5"/>
  <c r="N81" i="5"/>
  <c r="N82" i="5"/>
  <c r="N83" i="5"/>
  <c r="N85" i="5"/>
  <c r="N86" i="5"/>
  <c r="N87" i="5"/>
  <c r="N88" i="5"/>
  <c r="N89" i="5"/>
  <c r="N91" i="5"/>
  <c r="N92" i="5"/>
  <c r="N93" i="5"/>
  <c r="N95" i="5"/>
  <c r="N96" i="5"/>
  <c r="N97" i="5"/>
  <c r="N101" i="5"/>
  <c r="N102" i="5"/>
  <c r="N103" i="5"/>
  <c r="N105" i="5"/>
  <c r="N106" i="5"/>
  <c r="N107" i="5"/>
  <c r="N109" i="5"/>
  <c r="N110" i="5"/>
  <c r="N111" i="5"/>
  <c r="N113" i="5"/>
  <c r="N115" i="5"/>
  <c r="N116" i="5"/>
  <c r="N117" i="5"/>
  <c r="N119" i="5"/>
  <c r="N120" i="5"/>
  <c r="N121" i="5"/>
  <c r="N123" i="5"/>
  <c r="N124" i="5"/>
  <c r="N125" i="5"/>
  <c r="N127" i="5"/>
  <c r="N128" i="5"/>
  <c r="N129" i="5"/>
  <c r="N14" i="4"/>
  <c r="C26" i="2"/>
  <c r="C25" i="2"/>
  <c r="C23" i="2"/>
  <c r="C22" i="2"/>
  <c r="C21" i="2"/>
  <c r="C20" i="2"/>
  <c r="C19" i="2"/>
  <c r="C18" i="2"/>
  <c r="C17" i="2"/>
  <c r="C16" i="2"/>
  <c r="C15" i="2"/>
  <c r="N130" i="5"/>
  <c r="L130" i="5"/>
  <c r="M130" i="5"/>
  <c r="L129" i="5"/>
  <c r="L128" i="5"/>
  <c r="L127" i="5"/>
  <c r="N126" i="5"/>
  <c r="L126" i="5"/>
  <c r="L125" i="5"/>
  <c r="L124" i="5"/>
  <c r="L123" i="5"/>
  <c r="N122" i="5"/>
  <c r="L122" i="5"/>
  <c r="M122" i="5"/>
  <c r="L121" i="5"/>
  <c r="L120" i="5"/>
  <c r="L119" i="5"/>
  <c r="N118" i="5"/>
  <c r="L118" i="5"/>
  <c r="L117" i="5"/>
  <c r="L116" i="5"/>
  <c r="L115" i="5"/>
  <c r="N114" i="5"/>
  <c r="L114" i="5"/>
  <c r="M114" i="5"/>
  <c r="L113" i="5"/>
  <c r="N112" i="5"/>
  <c r="L112" i="5"/>
  <c r="L111" i="5"/>
  <c r="O111" i="5"/>
  <c r="L110" i="5"/>
  <c r="L109" i="5"/>
  <c r="N108" i="5"/>
  <c r="L108" i="5"/>
  <c r="M108" i="5"/>
  <c r="L107" i="5"/>
  <c r="O107" i="5"/>
  <c r="L106" i="5"/>
  <c r="L105" i="5"/>
  <c r="N104" i="5"/>
  <c r="L104" i="5"/>
  <c r="L103" i="5"/>
  <c r="L102" i="5"/>
  <c r="O102" i="5"/>
  <c r="L101" i="5"/>
  <c r="N100" i="5"/>
  <c r="L100" i="5"/>
  <c r="M100" i="5"/>
  <c r="L99" i="5"/>
  <c r="N98" i="5"/>
  <c r="L97" i="5"/>
  <c r="L96" i="5"/>
  <c r="L95" i="5"/>
  <c r="N94" i="5"/>
  <c r="L94" i="5"/>
  <c r="L93" i="5"/>
  <c r="O93" i="5"/>
  <c r="L92" i="5"/>
  <c r="L91" i="5"/>
  <c r="N90" i="5"/>
  <c r="L90" i="5"/>
  <c r="M90" i="5"/>
  <c r="L89" i="5"/>
  <c r="O89" i="5"/>
  <c r="L88" i="5"/>
  <c r="L87" i="5"/>
  <c r="L86" i="5"/>
  <c r="O86" i="5"/>
  <c r="L85" i="5"/>
  <c r="N84" i="5"/>
  <c r="L84" i="5"/>
  <c r="L83" i="5"/>
  <c r="L82" i="5"/>
  <c r="O82" i="5"/>
  <c r="L81" i="5"/>
  <c r="N80" i="5"/>
  <c r="L80" i="5"/>
  <c r="M80" i="5"/>
  <c r="L79" i="5"/>
  <c r="L78" i="5"/>
  <c r="O78" i="5"/>
  <c r="L77" i="5"/>
  <c r="N76" i="5"/>
  <c r="L76" i="5"/>
  <c r="M76" i="5"/>
  <c r="L75" i="5"/>
  <c r="L74" i="5"/>
  <c r="O74" i="5"/>
  <c r="L73" i="5"/>
  <c r="N72" i="5"/>
  <c r="L72" i="5"/>
  <c r="M72" i="5"/>
  <c r="L71" i="5"/>
  <c r="L70" i="5"/>
  <c r="L67" i="5"/>
  <c r="L63" i="5"/>
  <c r="N62" i="5"/>
  <c r="L62" i="5"/>
  <c r="M62" i="5"/>
  <c r="L60" i="5"/>
  <c r="O60" i="5"/>
  <c r="L59" i="5"/>
  <c r="N58" i="5"/>
  <c r="L58" i="5"/>
  <c r="M58" i="5"/>
  <c r="L57" i="5"/>
  <c r="L56" i="5"/>
  <c r="O56" i="5"/>
  <c r="L55" i="5"/>
  <c r="L53" i="5"/>
  <c r="L52" i="5"/>
  <c r="O52" i="5"/>
  <c r="L51" i="5"/>
  <c r="N50" i="5"/>
  <c r="L50" i="5"/>
  <c r="M50" i="5"/>
  <c r="L49" i="5"/>
  <c r="L48" i="5"/>
  <c r="O48" i="5"/>
  <c r="L47" i="5"/>
  <c r="N46" i="5"/>
  <c r="L46" i="5"/>
  <c r="M46" i="5"/>
  <c r="L45" i="5"/>
  <c r="L44" i="5"/>
  <c r="O44" i="5"/>
  <c r="L43" i="5"/>
  <c r="N42" i="5"/>
  <c r="L42" i="5"/>
  <c r="L41" i="5"/>
  <c r="L40" i="5"/>
  <c r="O40" i="5"/>
  <c r="L39" i="5"/>
  <c r="N38" i="5"/>
  <c r="L38" i="5"/>
  <c r="M38" i="5"/>
  <c r="L37" i="5"/>
  <c r="L36" i="5"/>
  <c r="O36" i="5"/>
  <c r="L35" i="5"/>
  <c r="N34" i="5"/>
  <c r="L33" i="5"/>
  <c r="L32" i="5"/>
  <c r="O32" i="5"/>
  <c r="L31" i="5"/>
  <c r="N30" i="5"/>
  <c r="L30" i="5"/>
  <c r="M30" i="5"/>
  <c r="L29" i="5"/>
  <c r="N28" i="5"/>
  <c r="L28" i="5"/>
  <c r="L27" i="5"/>
  <c r="L26" i="5"/>
  <c r="O26" i="5"/>
  <c r="L25" i="5"/>
  <c r="N24" i="5"/>
  <c r="L24" i="5"/>
  <c r="M24" i="5"/>
  <c r="L23" i="5"/>
  <c r="N22" i="5"/>
  <c r="L22" i="5"/>
  <c r="M22" i="5"/>
  <c r="L21" i="5"/>
  <c r="L20" i="5"/>
  <c r="O20" i="5"/>
  <c r="L17" i="5"/>
  <c r="L16" i="5"/>
  <c r="O16" i="5"/>
  <c r="L15" i="5"/>
  <c r="N14" i="5"/>
  <c r="L14" i="5"/>
  <c r="M14" i="5"/>
  <c r="L107" i="4"/>
  <c r="L105" i="4"/>
  <c r="L104" i="4"/>
  <c r="M104" i="4"/>
  <c r="L103" i="4"/>
  <c r="N102" i="4"/>
  <c r="L102" i="4"/>
  <c r="L101" i="4"/>
  <c r="L100" i="4"/>
  <c r="M100" i="4"/>
  <c r="L99" i="4"/>
  <c r="N98" i="4"/>
  <c r="L98" i="4"/>
  <c r="L97" i="4"/>
  <c r="L96" i="4"/>
  <c r="L95" i="4"/>
  <c r="L94" i="4"/>
  <c r="L93" i="4"/>
  <c r="N92" i="4"/>
  <c r="L92" i="4"/>
  <c r="L91" i="4"/>
  <c r="L90" i="4"/>
  <c r="L89" i="4"/>
  <c r="N88" i="4"/>
  <c r="L88" i="4"/>
  <c r="L87" i="4"/>
  <c r="L86" i="4"/>
  <c r="L85" i="4"/>
  <c r="N84" i="4"/>
  <c r="L84" i="4"/>
  <c r="L83" i="4"/>
  <c r="N82" i="4"/>
  <c r="L82" i="4"/>
  <c r="L81" i="4"/>
  <c r="L80" i="4"/>
  <c r="L79" i="4"/>
  <c r="O79" i="4"/>
  <c r="N78" i="4"/>
  <c r="L78" i="4"/>
  <c r="L77" i="4"/>
  <c r="L75" i="4"/>
  <c r="L74" i="4"/>
  <c r="L73" i="4"/>
  <c r="N72" i="4"/>
  <c r="L72" i="4"/>
  <c r="O72" i="4"/>
  <c r="L71" i="4"/>
  <c r="L70" i="4"/>
  <c r="L69" i="4"/>
  <c r="N68" i="4"/>
  <c r="L68" i="4"/>
  <c r="L67" i="4"/>
  <c r="L66" i="4"/>
  <c r="L65" i="4"/>
  <c r="N64" i="4"/>
  <c r="L64" i="4"/>
  <c r="L63" i="4"/>
  <c r="L62" i="4"/>
  <c r="L61" i="4"/>
  <c r="M61" i="4"/>
  <c r="N60" i="4"/>
  <c r="L60" i="4"/>
  <c r="L59" i="4"/>
  <c r="L58" i="4"/>
  <c r="L57" i="4"/>
  <c r="N56" i="4"/>
  <c r="L56" i="4"/>
  <c r="L55" i="4"/>
  <c r="L54" i="4"/>
  <c r="L53" i="4"/>
  <c r="O53" i="4"/>
  <c r="N52" i="4"/>
  <c r="L52" i="4"/>
  <c r="L51" i="4"/>
  <c r="L50" i="4"/>
  <c r="L49" i="4"/>
  <c r="L48" i="4"/>
  <c r="L47" i="4"/>
  <c r="L45" i="4"/>
  <c r="L44" i="4"/>
  <c r="L43" i="4"/>
  <c r="N42" i="4"/>
  <c r="L42" i="4"/>
  <c r="L41" i="4"/>
  <c r="L40" i="4"/>
  <c r="M40" i="4"/>
  <c r="L39" i="4"/>
  <c r="N38" i="4"/>
  <c r="L38" i="4"/>
  <c r="L37" i="4"/>
  <c r="L36" i="4"/>
  <c r="M36" i="4"/>
  <c r="L35" i="4"/>
  <c r="N34" i="4"/>
  <c r="L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N22" i="4"/>
  <c r="L22" i="4"/>
  <c r="L21" i="4"/>
  <c r="N20" i="4"/>
  <c r="L20" i="4"/>
  <c r="L19" i="4"/>
  <c r="L18" i="4"/>
  <c r="M18" i="4"/>
  <c r="L17" i="4"/>
  <c r="M17" i="4"/>
  <c r="N16" i="4"/>
  <c r="L16" i="4"/>
  <c r="L15" i="4"/>
  <c r="L14" i="4"/>
  <c r="O14" i="4"/>
  <c r="N54" i="5" l="1"/>
  <c r="L76" i="4"/>
  <c r="O98" i="5"/>
  <c r="L19" i="5"/>
  <c r="N61" i="5"/>
  <c r="M34" i="5"/>
  <c r="N46" i="4"/>
  <c r="N108" i="4" s="1"/>
  <c r="G16" i="2" s="1"/>
  <c r="L106" i="4"/>
  <c r="N64" i="5"/>
  <c r="O64" i="5"/>
  <c r="M18" i="5"/>
  <c r="L18" i="5"/>
  <c r="N18" i="5"/>
  <c r="N65" i="5"/>
  <c r="E68" i="5"/>
  <c r="N70" i="5" s="1"/>
  <c r="L65" i="5"/>
  <c r="E66" i="5"/>
  <c r="L66" i="5" s="1"/>
  <c r="E26" i="3"/>
  <c r="E24" i="3"/>
  <c r="L41" i="11"/>
  <c r="L33" i="11"/>
  <c r="L26" i="8"/>
  <c r="L34" i="14"/>
  <c r="L30" i="14"/>
  <c r="L26" i="14"/>
  <c r="L60" i="12"/>
  <c r="L58" i="12"/>
  <c r="L54" i="12"/>
  <c r="L50" i="12"/>
  <c r="L46" i="12"/>
  <c r="L42" i="12"/>
  <c r="L38" i="12"/>
  <c r="L34" i="12"/>
  <c r="L30" i="12"/>
  <c r="L26" i="12"/>
  <c r="L90" i="10"/>
  <c r="L86" i="10"/>
  <c r="L80" i="10"/>
  <c r="L76" i="10"/>
  <c r="L74" i="10"/>
  <c r="L70" i="10"/>
  <c r="L66" i="10"/>
  <c r="L62" i="10"/>
  <c r="L58" i="10"/>
  <c r="L54" i="10"/>
  <c r="L50" i="10"/>
  <c r="L46" i="10"/>
  <c r="L42" i="10"/>
  <c r="L38" i="10"/>
  <c r="L34" i="10"/>
  <c r="L30" i="10"/>
  <c r="L26" i="10"/>
  <c r="N85" i="11"/>
  <c r="N81" i="11"/>
  <c r="N77" i="11"/>
  <c r="N73" i="11"/>
  <c r="N69" i="11"/>
  <c r="N65" i="11"/>
  <c r="N61" i="11"/>
  <c r="N57" i="11"/>
  <c r="N53" i="11"/>
  <c r="N49" i="11"/>
  <c r="N45" i="11"/>
  <c r="N41" i="11"/>
  <c r="N37" i="11"/>
  <c r="N33" i="11"/>
  <c r="N29" i="11"/>
  <c r="N25" i="11"/>
  <c r="N31" i="13"/>
  <c r="N27" i="13"/>
  <c r="N85" i="10"/>
  <c r="N19" i="14"/>
  <c r="N23" i="13"/>
  <c r="N19" i="13"/>
  <c r="N15" i="13"/>
  <c r="N19" i="12"/>
  <c r="N21" i="11"/>
  <c r="N17" i="11"/>
  <c r="N15" i="11"/>
  <c r="N19" i="10"/>
  <c r="N27" i="14"/>
  <c r="M65" i="11"/>
  <c r="N20" i="14"/>
  <c r="N16" i="14"/>
  <c r="O90" i="10"/>
  <c r="O76" i="10"/>
  <c r="O70" i="10"/>
  <c r="O38" i="10"/>
  <c r="O54" i="10"/>
  <c r="O30" i="6"/>
  <c r="O30" i="10"/>
  <c r="O46" i="10"/>
  <c r="O62" i="10"/>
  <c r="O26" i="8"/>
  <c r="L22" i="14"/>
  <c r="L18" i="14"/>
  <c r="L22" i="13"/>
  <c r="L18" i="13"/>
  <c r="L22" i="12"/>
  <c r="L18" i="12"/>
  <c r="L20" i="11"/>
  <c r="L16" i="11"/>
  <c r="L22" i="10"/>
  <c r="L18" i="10"/>
  <c r="L16" i="10"/>
  <c r="L20" i="9"/>
  <c r="L22" i="8"/>
  <c r="L18" i="8"/>
  <c r="L16" i="8"/>
  <c r="L22" i="7"/>
  <c r="L18" i="7"/>
  <c r="L22" i="6"/>
  <c r="L18" i="6"/>
  <c r="N34" i="14"/>
  <c r="N30" i="14"/>
  <c r="N26" i="14"/>
  <c r="N60" i="12"/>
  <c r="N58" i="12"/>
  <c r="N54" i="12"/>
  <c r="N50" i="12"/>
  <c r="N46" i="12"/>
  <c r="N42" i="12"/>
  <c r="N38" i="12"/>
  <c r="N34" i="12"/>
  <c r="N30" i="12"/>
  <c r="N26" i="12"/>
  <c r="N90" i="10"/>
  <c r="N86" i="10"/>
  <c r="N80" i="10"/>
  <c r="N76" i="10"/>
  <c r="N74" i="10"/>
  <c r="N70" i="10"/>
  <c r="N66" i="10"/>
  <c r="N62" i="10"/>
  <c r="N58" i="10"/>
  <c r="N54" i="10"/>
  <c r="N50" i="10"/>
  <c r="N46" i="10"/>
  <c r="N42" i="10"/>
  <c r="N38" i="10"/>
  <c r="N34" i="10"/>
  <c r="N30" i="10"/>
  <c r="N26" i="10"/>
  <c r="N26" i="8"/>
  <c r="L19" i="12"/>
  <c r="L45" i="11"/>
  <c r="L37" i="11"/>
  <c r="N14" i="12"/>
  <c r="N14" i="8"/>
  <c r="O18" i="13"/>
  <c r="O22" i="13"/>
  <c r="O18" i="8"/>
  <c r="O20" i="9"/>
  <c r="O22" i="8"/>
  <c r="N22" i="14"/>
  <c r="N18" i="14"/>
  <c r="N22" i="13"/>
  <c r="N18" i="13"/>
  <c r="N22" i="12"/>
  <c r="N18" i="12"/>
  <c r="N20" i="11"/>
  <c r="N16" i="11"/>
  <c r="N22" i="10"/>
  <c r="N18" i="10"/>
  <c r="N16" i="10"/>
  <c r="N20" i="9"/>
  <c r="N22" i="8"/>
  <c r="N18" i="8"/>
  <c r="N16" i="8"/>
  <c r="N22" i="7"/>
  <c r="N18" i="7"/>
  <c r="N22" i="6"/>
  <c r="N18" i="6"/>
  <c r="N31" i="14"/>
  <c r="N23" i="14"/>
  <c r="N55" i="12"/>
  <c r="N51" i="12"/>
  <c r="N47" i="12"/>
  <c r="N43" i="12"/>
  <c r="N39" i="12"/>
  <c r="N35" i="12"/>
  <c r="N31" i="12"/>
  <c r="N27" i="12"/>
  <c r="N23" i="12"/>
  <c r="L20" i="14"/>
  <c r="L16" i="14"/>
  <c r="L56" i="12"/>
  <c r="L48" i="12"/>
  <c r="L40" i="12"/>
  <c r="L32" i="12"/>
  <c r="K32" i="12"/>
  <c r="L94" i="10"/>
  <c r="L92" i="10"/>
  <c r="L88" i="10"/>
  <c r="L84" i="10"/>
  <c r="L82" i="10"/>
  <c r="L78" i="10"/>
  <c r="L72" i="10"/>
  <c r="L68" i="10"/>
  <c r="L64" i="10"/>
  <c r="L60" i="10"/>
  <c r="L56" i="10"/>
  <c r="L52" i="10"/>
  <c r="L48" i="10"/>
  <c r="L44" i="10"/>
  <c r="L40" i="10"/>
  <c r="L36" i="10"/>
  <c r="L32" i="10"/>
  <c r="L28" i="10"/>
  <c r="L24" i="10"/>
  <c r="L30" i="9"/>
  <c r="K39" i="11"/>
  <c r="N17" i="10"/>
  <c r="L55" i="12"/>
  <c r="L51" i="12"/>
  <c r="L47" i="12"/>
  <c r="L43" i="12"/>
  <c r="L39" i="12"/>
  <c r="L35" i="12"/>
  <c r="L31" i="12"/>
  <c r="L27" i="12"/>
  <c r="L23" i="12"/>
  <c r="L59" i="10"/>
  <c r="L43" i="10"/>
  <c r="L32" i="13"/>
  <c r="N26" i="9"/>
  <c r="N42" i="7"/>
  <c r="N30" i="6"/>
  <c r="N26" i="6"/>
  <c r="L31" i="14"/>
  <c r="O31" i="14"/>
  <c r="L27" i="14"/>
  <c r="L23" i="14"/>
  <c r="L27" i="13"/>
  <c r="L31" i="13"/>
  <c r="L23" i="13"/>
  <c r="O23" i="13"/>
  <c r="L19" i="13"/>
  <c r="O19" i="13"/>
  <c r="L15" i="13"/>
  <c r="O15" i="13"/>
  <c r="L61" i="11"/>
  <c r="L21" i="11"/>
  <c r="K72" i="4"/>
  <c r="K79" i="4"/>
  <c r="N32" i="14"/>
  <c r="L32" i="14"/>
  <c r="N28" i="14"/>
  <c r="L28" i="14"/>
  <c r="N24" i="14"/>
  <c r="L24" i="14"/>
  <c r="L30" i="13"/>
  <c r="N30" i="13"/>
  <c r="L26" i="13"/>
  <c r="N26" i="13"/>
  <c r="N84" i="11"/>
  <c r="L84" i="11"/>
  <c r="N80" i="11"/>
  <c r="L80" i="11"/>
  <c r="N76" i="11"/>
  <c r="L76" i="11"/>
  <c r="N72" i="11"/>
  <c r="L72" i="11"/>
  <c r="L68" i="11"/>
  <c r="N68" i="11"/>
  <c r="N64" i="11"/>
  <c r="L64" i="11"/>
  <c r="N60" i="11"/>
  <c r="L60" i="11"/>
  <c r="N56" i="11"/>
  <c r="L56" i="11"/>
  <c r="N52" i="11"/>
  <c r="L52" i="11"/>
  <c r="N48" i="11"/>
  <c r="L48" i="11"/>
  <c r="N44" i="11"/>
  <c r="L44" i="11"/>
  <c r="N40" i="11"/>
  <c r="L40" i="11"/>
  <c r="N36" i="11"/>
  <c r="L36" i="11"/>
  <c r="L32" i="11"/>
  <c r="N32" i="11"/>
  <c r="N28" i="11"/>
  <c r="L28" i="11"/>
  <c r="N24" i="11"/>
  <c r="L24" i="11"/>
  <c r="N32" i="9"/>
  <c r="L32" i="9"/>
  <c r="N28" i="9"/>
  <c r="L28" i="9"/>
  <c r="L24" i="9"/>
  <c r="N24" i="9"/>
  <c r="O64" i="11"/>
  <c r="O68" i="11"/>
  <c r="O85" i="11"/>
  <c r="L85" i="11"/>
  <c r="L29" i="11"/>
  <c r="O25" i="11"/>
  <c r="L25" i="11"/>
  <c r="L17" i="11"/>
  <c r="L15" i="11"/>
  <c r="O30" i="13"/>
  <c r="O26" i="13"/>
  <c r="O32" i="11"/>
  <c r="L91" i="10"/>
  <c r="O36" i="11"/>
  <c r="O44" i="11"/>
  <c r="O52" i="11"/>
  <c r="O60" i="11"/>
  <c r="O80" i="11"/>
  <c r="M32" i="9"/>
  <c r="O28" i="11"/>
  <c r="O40" i="11"/>
  <c r="O48" i="11"/>
  <c r="O56" i="11"/>
  <c r="M84" i="11"/>
  <c r="M24" i="9"/>
  <c r="L20" i="10"/>
  <c r="N22" i="9"/>
  <c r="L18" i="9"/>
  <c r="N16" i="9"/>
  <c r="N77" i="7"/>
  <c r="L77" i="7"/>
  <c r="N73" i="7"/>
  <c r="L73" i="7"/>
  <c r="N70" i="7"/>
  <c r="L70" i="7"/>
  <c r="L66" i="7"/>
  <c r="N66" i="7"/>
  <c r="L62" i="7"/>
  <c r="N62" i="7"/>
  <c r="N58" i="7"/>
  <c r="L58" i="7"/>
  <c r="N54" i="7"/>
  <c r="L54" i="7"/>
  <c r="L50" i="7"/>
  <c r="N50" i="7"/>
  <c r="M50" i="7"/>
  <c r="L46" i="7"/>
  <c r="N46" i="7"/>
  <c r="N44" i="7"/>
  <c r="L44" i="7"/>
  <c r="L40" i="7"/>
  <c r="N40" i="7"/>
  <c r="N36" i="7"/>
  <c r="L36" i="7"/>
  <c r="L32" i="7"/>
  <c r="N32" i="7"/>
  <c r="L28" i="7"/>
  <c r="N28" i="7"/>
  <c r="L24" i="7"/>
  <c r="N24" i="7"/>
  <c r="K34" i="7"/>
  <c r="L77" i="11"/>
  <c r="O77" i="11"/>
  <c r="L73" i="11"/>
  <c r="L69" i="11"/>
  <c r="L57" i="11"/>
  <c r="O57" i="11"/>
  <c r="L53" i="11"/>
  <c r="O53" i="11"/>
  <c r="L49" i="11"/>
  <c r="L81" i="10"/>
  <c r="L71" i="10"/>
  <c r="L67" i="10"/>
  <c r="L55" i="10"/>
  <c r="K55" i="10"/>
  <c r="L51" i="10"/>
  <c r="M51" i="10"/>
  <c r="L39" i="10"/>
  <c r="L35" i="10"/>
  <c r="M35" i="10"/>
  <c r="L23" i="10"/>
  <c r="L19" i="10"/>
  <c r="O19" i="12"/>
  <c r="O23" i="12"/>
  <c r="O27" i="12"/>
  <c r="O31" i="12"/>
  <c r="O35" i="12"/>
  <c r="O39" i="12"/>
  <c r="O43" i="12"/>
  <c r="O47" i="12"/>
  <c r="O51" i="12"/>
  <c r="O55" i="12"/>
  <c r="K35" i="11"/>
  <c r="O37" i="11"/>
  <c r="L81" i="11"/>
  <c r="L31" i="10"/>
  <c r="L63" i="10"/>
  <c r="O41" i="11"/>
  <c r="O45" i="11"/>
  <c r="L65" i="11"/>
  <c r="L47" i="10"/>
  <c r="L77" i="10"/>
  <c r="K20" i="7"/>
  <c r="K51" i="11"/>
  <c r="K79" i="11"/>
  <c r="K31" i="7"/>
  <c r="O46" i="7"/>
  <c r="O32" i="7"/>
  <c r="O40" i="7"/>
  <c r="O54" i="7"/>
  <c r="O73" i="7"/>
  <c r="M18" i="7"/>
  <c r="O44" i="7"/>
  <c r="O58" i="7"/>
  <c r="O70" i="7"/>
  <c r="N93" i="10"/>
  <c r="N79" i="10"/>
  <c r="N73" i="10"/>
  <c r="N65" i="10"/>
  <c r="N57" i="10"/>
  <c r="N49" i="10"/>
  <c r="N41" i="10"/>
  <c r="N33" i="10"/>
  <c r="N25" i="10"/>
  <c r="N27" i="9"/>
  <c r="K71" i="7"/>
  <c r="N33" i="7"/>
  <c r="M53" i="4"/>
  <c r="P53" i="4" s="1"/>
  <c r="K42" i="7"/>
  <c r="L14" i="11"/>
  <c r="K95" i="10"/>
  <c r="K15" i="10"/>
  <c r="K89" i="10"/>
  <c r="K89" i="11"/>
  <c r="K29" i="10"/>
  <c r="K37" i="10"/>
  <c r="K45" i="10"/>
  <c r="K53" i="10"/>
  <c r="K61" i="10"/>
  <c r="K69" i="10"/>
  <c r="K75" i="10"/>
  <c r="K83" i="10"/>
  <c r="K26" i="7"/>
  <c r="K30" i="7"/>
  <c r="K49" i="7"/>
  <c r="L23" i="11"/>
  <c r="L95" i="10"/>
  <c r="L89" i="10"/>
  <c r="L83" i="10"/>
  <c r="L75" i="10"/>
  <c r="L69" i="10"/>
  <c r="L61" i="10"/>
  <c r="L53" i="10"/>
  <c r="L45" i="10"/>
  <c r="L37" i="10"/>
  <c r="L29" i="10"/>
  <c r="L21" i="10"/>
  <c r="L15" i="10"/>
  <c r="M22" i="4"/>
  <c r="M42" i="4"/>
  <c r="O42" i="4"/>
  <c r="O49" i="4"/>
  <c r="M103" i="4"/>
  <c r="M15" i="4"/>
  <c r="O15" i="4"/>
  <c r="P15" i="4" s="1"/>
  <c r="O23" i="4"/>
  <c r="M25" i="4"/>
  <c r="O25" i="4"/>
  <c r="M34" i="4"/>
  <c r="O34" i="4"/>
  <c r="O44" i="4"/>
  <c r="M51" i="4"/>
  <c r="O51" i="4"/>
  <c r="P51" i="4" s="1"/>
  <c r="M59" i="4"/>
  <c r="O59" i="4"/>
  <c r="M68" i="4"/>
  <c r="O68" i="4"/>
  <c r="P68" i="4" s="1"/>
  <c r="O73" i="4"/>
  <c r="M76" i="4"/>
  <c r="O76" i="4"/>
  <c r="M81" i="4"/>
  <c r="O81" i="4"/>
  <c r="M87" i="4"/>
  <c r="O87" i="4"/>
  <c r="M19" i="4"/>
  <c r="O19" i="4"/>
  <c r="M20" i="4"/>
  <c r="O20" i="4"/>
  <c r="O28" i="4"/>
  <c r="M29" i="4"/>
  <c r="O29" i="4"/>
  <c r="M30" i="4"/>
  <c r="O30" i="4"/>
  <c r="O31" i="4"/>
  <c r="P31" i="4" s="1"/>
  <c r="O39" i="4"/>
  <c r="O40" i="4"/>
  <c r="P40" i="4" s="1"/>
  <c r="M44" i="4"/>
  <c r="O47" i="4"/>
  <c r="O48" i="4"/>
  <c r="O54" i="4"/>
  <c r="M55" i="4"/>
  <c r="O55" i="4"/>
  <c r="M56" i="4"/>
  <c r="O62" i="4"/>
  <c r="M63" i="4"/>
  <c r="O63" i="4"/>
  <c r="M64" i="4"/>
  <c r="O70" i="4"/>
  <c r="M71" i="4"/>
  <c r="O71" i="4"/>
  <c r="M77" i="4"/>
  <c r="O77" i="4"/>
  <c r="M78" i="4"/>
  <c r="O78" i="4"/>
  <c r="M84" i="4"/>
  <c r="O90" i="4"/>
  <c r="M91" i="4"/>
  <c r="O91" i="4"/>
  <c r="M92" i="4"/>
  <c r="O96" i="4"/>
  <c r="O97" i="4"/>
  <c r="M98" i="4"/>
  <c r="O98" i="4"/>
  <c r="M99" i="4"/>
  <c r="O99" i="4"/>
  <c r="O100" i="4"/>
  <c r="P100" i="4" s="1"/>
  <c r="M23" i="5"/>
  <c r="O23" i="5"/>
  <c r="O24" i="5"/>
  <c r="P24" i="5" s="1"/>
  <c r="O35" i="5"/>
  <c r="M37" i="5"/>
  <c r="O37" i="5"/>
  <c r="O38" i="5"/>
  <c r="P38" i="5" s="1"/>
  <c r="O47" i="5"/>
  <c r="M49" i="5"/>
  <c r="O49" i="5"/>
  <c r="O50" i="5"/>
  <c r="P50" i="5" s="1"/>
  <c r="O63" i="5"/>
  <c r="M65" i="5"/>
  <c r="O65" i="5"/>
  <c r="O77" i="5"/>
  <c r="M79" i="5"/>
  <c r="O79" i="5"/>
  <c r="O80" i="5"/>
  <c r="P80" i="5" s="1"/>
  <c r="O90" i="5"/>
  <c r="P90" i="5" s="1"/>
  <c r="O100" i="5"/>
  <c r="P100" i="5" s="1"/>
  <c r="O109" i="5"/>
  <c r="M110" i="5"/>
  <c r="O115" i="5"/>
  <c r="M116" i="5"/>
  <c r="O123" i="5"/>
  <c r="M124" i="5"/>
  <c r="O25" i="5"/>
  <c r="M27" i="5"/>
  <c r="O27" i="5"/>
  <c r="O28" i="5"/>
  <c r="O39" i="5"/>
  <c r="M41" i="5"/>
  <c r="O41" i="5"/>
  <c r="O42" i="5"/>
  <c r="O51" i="5"/>
  <c r="M53" i="5"/>
  <c r="O53" i="5"/>
  <c r="O54" i="5"/>
  <c r="O67" i="5"/>
  <c r="O70" i="5"/>
  <c r="O81" i="5"/>
  <c r="M83" i="5"/>
  <c r="O83" i="5"/>
  <c r="O84" i="5"/>
  <c r="O91" i="5"/>
  <c r="M92" i="5"/>
  <c r="O92" i="5"/>
  <c r="O101" i="5"/>
  <c r="M103" i="5"/>
  <c r="O103" i="5"/>
  <c r="O104" i="5"/>
  <c r="O112" i="5"/>
  <c r="M117" i="5"/>
  <c r="O117" i="5"/>
  <c r="O118" i="5"/>
  <c r="M125" i="5"/>
  <c r="O125" i="5"/>
  <c r="O126" i="5"/>
  <c r="M21" i="4"/>
  <c r="O21" i="4"/>
  <c r="M41" i="4"/>
  <c r="O41" i="4"/>
  <c r="O57" i="4"/>
  <c r="M85" i="4"/>
  <c r="O85" i="4"/>
  <c r="M93" i="4"/>
  <c r="O93" i="4"/>
  <c r="M102" i="4"/>
  <c r="M16" i="4"/>
  <c r="O16" i="4"/>
  <c r="O24" i="4"/>
  <c r="O35" i="4"/>
  <c r="O43" i="4"/>
  <c r="O50" i="4"/>
  <c r="M52" i="4"/>
  <c r="O52" i="4"/>
  <c r="M60" i="4"/>
  <c r="O60" i="4"/>
  <c r="M67" i="4"/>
  <c r="O67" i="4"/>
  <c r="M75" i="4"/>
  <c r="O75" i="4"/>
  <c r="M82" i="4"/>
  <c r="O82" i="4"/>
  <c r="O86" i="4"/>
  <c r="O15" i="5"/>
  <c r="M17" i="5"/>
  <c r="O17" i="5"/>
  <c r="O18" i="5"/>
  <c r="M29" i="5"/>
  <c r="O29" i="5"/>
  <c r="O30" i="5"/>
  <c r="P30" i="5" s="1"/>
  <c r="O43" i="5"/>
  <c r="M45" i="5"/>
  <c r="O45" i="5"/>
  <c r="O46" i="5"/>
  <c r="P46" i="5" s="1"/>
  <c r="O55" i="5"/>
  <c r="M57" i="5"/>
  <c r="O57" i="5"/>
  <c r="O58" i="5"/>
  <c r="P58" i="5" s="1"/>
  <c r="M71" i="5"/>
  <c r="O71" i="5"/>
  <c r="O72" i="5"/>
  <c r="P72" i="5" s="1"/>
  <c r="O85" i="5"/>
  <c r="M87" i="5"/>
  <c r="O87" i="5"/>
  <c r="O94" i="5"/>
  <c r="O95" i="5"/>
  <c r="M96" i="5"/>
  <c r="O96" i="5"/>
  <c r="M97" i="5"/>
  <c r="O97" i="5"/>
  <c r="O105" i="5"/>
  <c r="M106" i="5"/>
  <c r="O106" i="5"/>
  <c r="O119" i="5"/>
  <c r="M120" i="5"/>
  <c r="O120" i="5"/>
  <c r="O127" i="5"/>
  <c r="M128" i="5"/>
  <c r="O128" i="5"/>
  <c r="O32" i="4"/>
  <c r="M65" i="4"/>
  <c r="O65" i="4"/>
  <c r="O101" i="4"/>
  <c r="O17" i="4"/>
  <c r="P17" i="4" s="1"/>
  <c r="M26" i="4"/>
  <c r="O26" i="4"/>
  <c r="M33" i="4"/>
  <c r="O33" i="4"/>
  <c r="O36" i="4"/>
  <c r="P36" i="4" s="1"/>
  <c r="O58" i="4"/>
  <c r="O66" i="4"/>
  <c r="O74" i="4"/>
  <c r="O80" i="4"/>
  <c r="M88" i="4"/>
  <c r="O88" i="4"/>
  <c r="O94" i="4"/>
  <c r="O104" i="4"/>
  <c r="P104" i="4" s="1"/>
  <c r="O18" i="4"/>
  <c r="P18" i="4" s="1"/>
  <c r="O27" i="4"/>
  <c r="P27" i="4" s="1"/>
  <c r="M32" i="4"/>
  <c r="M37" i="4"/>
  <c r="O37" i="4"/>
  <c r="M38" i="4"/>
  <c r="M45" i="4"/>
  <c r="O45" i="4"/>
  <c r="M46" i="4"/>
  <c r="M49" i="4"/>
  <c r="K53" i="4"/>
  <c r="M57" i="4"/>
  <c r="O61" i="4"/>
  <c r="P61" i="4" s="1"/>
  <c r="M69" i="4"/>
  <c r="M72" i="4"/>
  <c r="M79" i="4"/>
  <c r="P79" i="4" s="1"/>
  <c r="M83" i="4"/>
  <c r="M89" i="4"/>
  <c r="O89" i="4"/>
  <c r="M95" i="4"/>
  <c r="O95" i="4"/>
  <c r="O105" i="4"/>
  <c r="M106" i="4"/>
  <c r="O106" i="4"/>
  <c r="M107" i="4"/>
  <c r="O107" i="4"/>
  <c r="O19" i="5"/>
  <c r="M21" i="5"/>
  <c r="O21" i="5"/>
  <c r="O22" i="5"/>
  <c r="P22" i="5" s="1"/>
  <c r="M28" i="5"/>
  <c r="P28" i="5" s="1"/>
  <c r="O31" i="5"/>
  <c r="M33" i="5"/>
  <c r="O33" i="5"/>
  <c r="O34" i="5"/>
  <c r="M42" i="5"/>
  <c r="M54" i="5"/>
  <c r="O59" i="5"/>
  <c r="M61" i="5"/>
  <c r="O61" i="5"/>
  <c r="O62" i="5"/>
  <c r="P62" i="5" s="1"/>
  <c r="M70" i="5"/>
  <c r="O73" i="5"/>
  <c r="M75" i="5"/>
  <c r="O75" i="5"/>
  <c r="O76" i="5"/>
  <c r="M84" i="5"/>
  <c r="M88" i="5"/>
  <c r="O88" i="5"/>
  <c r="O99" i="5"/>
  <c r="M104" i="5"/>
  <c r="O108" i="5"/>
  <c r="P108" i="5" s="1"/>
  <c r="M112" i="5"/>
  <c r="M113" i="5"/>
  <c r="O113" i="5"/>
  <c r="O114" i="5"/>
  <c r="P114" i="5" s="1"/>
  <c r="M118" i="5"/>
  <c r="M121" i="5"/>
  <c r="O121" i="5"/>
  <c r="O122" i="5"/>
  <c r="P122" i="5" s="1"/>
  <c r="M126" i="5"/>
  <c r="M129" i="5"/>
  <c r="O129" i="5"/>
  <c r="O130" i="5"/>
  <c r="P130" i="5" s="1"/>
  <c r="M34" i="14"/>
  <c r="O34" i="14"/>
  <c r="M26" i="12"/>
  <c r="O26" i="12"/>
  <c r="K19" i="11"/>
  <c r="M87" i="10"/>
  <c r="K35" i="9"/>
  <c r="O36" i="7"/>
  <c r="M36" i="7"/>
  <c r="K79" i="7"/>
  <c r="M30" i="12"/>
  <c r="O30" i="12"/>
  <c r="M38" i="12"/>
  <c r="O38" i="12"/>
  <c r="M46" i="12"/>
  <c r="O46" i="12"/>
  <c r="K48" i="12"/>
  <c r="M54" i="12"/>
  <c r="O54" i="12"/>
  <c r="K56" i="12"/>
  <c r="M60" i="12"/>
  <c r="O60" i="12"/>
  <c r="K31" i="11"/>
  <c r="K42" i="11"/>
  <c r="K59" i="11"/>
  <c r="K63" i="11"/>
  <c r="K67" i="11"/>
  <c r="K71" i="11"/>
  <c r="K75" i="11"/>
  <c r="O81" i="11"/>
  <c r="M27" i="10"/>
  <c r="O27" i="10"/>
  <c r="K47" i="10"/>
  <c r="K77" i="10"/>
  <c r="K26" i="9"/>
  <c r="K52" i="7"/>
  <c r="K60" i="7"/>
  <c r="O66" i="7"/>
  <c r="O16" i="14"/>
  <c r="O20" i="14"/>
  <c r="O24" i="14"/>
  <c r="O28" i="14"/>
  <c r="M18" i="12"/>
  <c r="O18" i="12"/>
  <c r="O38" i="11"/>
  <c r="M45" i="11"/>
  <c r="K55" i="11"/>
  <c r="O65" i="11"/>
  <c r="O72" i="11"/>
  <c r="O76" i="11"/>
  <c r="K83" i="11"/>
  <c r="M18" i="10"/>
  <c r="K21" i="10"/>
  <c r="M26" i="10"/>
  <c r="K26" i="10"/>
  <c r="M34" i="10"/>
  <c r="O34" i="10"/>
  <c r="M42" i="10"/>
  <c r="M50" i="10"/>
  <c r="M58" i="10"/>
  <c r="M66" i="10"/>
  <c r="M74" i="10"/>
  <c r="M80" i="10"/>
  <c r="K33" i="9"/>
  <c r="K16" i="7"/>
  <c r="O28" i="7"/>
  <c r="M28" i="7"/>
  <c r="K45" i="7"/>
  <c r="K63" i="7"/>
  <c r="K75" i="7"/>
  <c r="M18" i="14"/>
  <c r="O18" i="14"/>
  <c r="M22" i="14"/>
  <c r="M26" i="14"/>
  <c r="O26" i="14"/>
  <c r="M30" i="14"/>
  <c r="O32" i="14"/>
  <c r="M15" i="13"/>
  <c r="K17" i="13"/>
  <c r="M19" i="13"/>
  <c r="M23" i="13"/>
  <c r="K25" i="13"/>
  <c r="M22" i="12"/>
  <c r="O22" i="12"/>
  <c r="K28" i="12"/>
  <c r="M34" i="12"/>
  <c r="O34" i="12"/>
  <c r="K36" i="12"/>
  <c r="M42" i="12"/>
  <c r="O42" i="12"/>
  <c r="M50" i="12"/>
  <c r="O50" i="12"/>
  <c r="M58" i="12"/>
  <c r="O58" i="12"/>
  <c r="K43" i="11"/>
  <c r="K47" i="11"/>
  <c r="K66" i="11"/>
  <c r="O84" i="11"/>
  <c r="K88" i="11"/>
  <c r="M31" i="10"/>
  <c r="M39" i="10"/>
  <c r="M47" i="10"/>
  <c r="M55" i="10"/>
  <c r="M63" i="10"/>
  <c r="M71" i="10"/>
  <c r="M77" i="10"/>
  <c r="M86" i="10"/>
  <c r="K34" i="9"/>
  <c r="K19" i="8"/>
  <c r="K56" i="7"/>
  <c r="K38" i="7"/>
  <c r="O62" i="7"/>
  <c r="O77" i="7"/>
  <c r="O89" i="11"/>
  <c r="O71" i="11"/>
  <c r="O63" i="11"/>
  <c r="K19" i="9"/>
  <c r="K16" i="6"/>
  <c r="O31" i="6"/>
  <c r="O24" i="9"/>
  <c r="M28" i="9"/>
  <c r="O32" i="9"/>
  <c r="O50" i="7"/>
  <c r="M62" i="7"/>
  <c r="K80" i="7"/>
  <c r="K17" i="7"/>
  <c r="M16" i="8"/>
  <c r="K48" i="7"/>
  <c r="K28" i="6"/>
  <c r="N91" i="10"/>
  <c r="N87" i="10"/>
  <c r="L87" i="10"/>
  <c r="O81" i="10"/>
  <c r="N81" i="10"/>
  <c r="N77" i="10"/>
  <c r="N71" i="10"/>
  <c r="N67" i="10"/>
  <c r="N63" i="10"/>
  <c r="O59" i="10"/>
  <c r="N59" i="10"/>
  <c r="N55" i="10"/>
  <c r="N51" i="10"/>
  <c r="N47" i="10"/>
  <c r="O43" i="10"/>
  <c r="N43" i="10"/>
  <c r="N39" i="10"/>
  <c r="N35" i="10"/>
  <c r="N31" i="10"/>
  <c r="N27" i="10"/>
  <c r="L27" i="10"/>
  <c r="N23" i="10"/>
  <c r="M23" i="10"/>
  <c r="M33" i="9"/>
  <c r="L33" i="9"/>
  <c r="N33" i="9"/>
  <c r="L29" i="9"/>
  <c r="N29" i="9"/>
  <c r="N25" i="9"/>
  <c r="L25" i="9"/>
  <c r="L21" i="9"/>
  <c r="N21" i="9"/>
  <c r="N17" i="9"/>
  <c r="M17" i="9"/>
  <c r="L17" i="9"/>
  <c r="L15" i="9"/>
  <c r="N15" i="9"/>
  <c r="N23" i="8"/>
  <c r="L23" i="8"/>
  <c r="N19" i="8"/>
  <c r="L19" i="8"/>
  <c r="N78" i="7"/>
  <c r="L78" i="7"/>
  <c r="O78" i="7"/>
  <c r="L74" i="7"/>
  <c r="O74" i="7"/>
  <c r="N74" i="7"/>
  <c r="O71" i="7"/>
  <c r="N71" i="7"/>
  <c r="L71" i="7"/>
  <c r="N67" i="7"/>
  <c r="L67" i="7"/>
  <c r="O67" i="7"/>
  <c r="N63" i="7"/>
  <c r="L63" i="7"/>
  <c r="L59" i="7"/>
  <c r="O59" i="7"/>
  <c r="N59" i="7"/>
  <c r="O55" i="7"/>
  <c r="N55" i="7"/>
  <c r="L55" i="7"/>
  <c r="N51" i="7"/>
  <c r="L51" i="7"/>
  <c r="O47" i="7"/>
  <c r="N47" i="7"/>
  <c r="L47" i="7"/>
  <c r="N41" i="7"/>
  <c r="L41" i="7"/>
  <c r="O41" i="7"/>
  <c r="L37" i="7"/>
  <c r="O37" i="7"/>
  <c r="N37" i="7"/>
  <c r="L33" i="7"/>
  <c r="O33" i="7"/>
  <c r="L29" i="7"/>
  <c r="N29" i="7"/>
  <c r="L25" i="7"/>
  <c r="N25" i="7"/>
  <c r="O25" i="7"/>
  <c r="O23" i="7"/>
  <c r="N23" i="7"/>
  <c r="L23" i="7"/>
  <c r="O19" i="7"/>
  <c r="N19" i="7"/>
  <c r="L19" i="7"/>
  <c r="O15" i="7"/>
  <c r="N15" i="7"/>
  <c r="L15" i="7"/>
  <c r="N31" i="6"/>
  <c r="M31" i="6"/>
  <c r="L31" i="6"/>
  <c r="N27" i="6"/>
  <c r="M27" i="6"/>
  <c r="L27" i="6"/>
  <c r="N23" i="6"/>
  <c r="M23" i="6"/>
  <c r="L23" i="6"/>
  <c r="L19" i="6"/>
  <c r="N19" i="6"/>
  <c r="M19" i="6"/>
  <c r="M43" i="10"/>
  <c r="M59" i="10"/>
  <c r="M81" i="10"/>
  <c r="M23" i="8"/>
  <c r="M19" i="7"/>
  <c r="M19" i="8"/>
  <c r="M23" i="7"/>
  <c r="M29" i="7"/>
  <c r="M41" i="7"/>
  <c r="M67" i="7"/>
  <c r="M33" i="7"/>
  <c r="M37" i="7"/>
  <c r="M59" i="7"/>
  <c r="M63" i="7"/>
  <c r="M74" i="7"/>
  <c r="M51" i="7"/>
  <c r="M71" i="7"/>
  <c r="O30" i="7"/>
  <c r="N24" i="12"/>
  <c r="L24" i="12"/>
  <c r="N16" i="12"/>
  <c r="L16" i="12"/>
  <c r="L14" i="12"/>
  <c r="O14" i="12"/>
  <c r="L14" i="8"/>
  <c r="M14" i="8"/>
  <c r="K20" i="6"/>
  <c r="K25" i="11"/>
  <c r="K24" i="6"/>
  <c r="K14" i="4"/>
  <c r="K14" i="9"/>
  <c r="O27" i="14"/>
  <c r="O19" i="14"/>
  <c r="O24" i="11"/>
  <c r="O20" i="11"/>
  <c r="O16" i="11"/>
  <c r="O23" i="10"/>
  <c r="O24" i="7"/>
  <c r="O22" i="7"/>
  <c r="O18" i="7"/>
  <c r="O23" i="6"/>
  <c r="O19" i="6"/>
  <c r="O14" i="9"/>
  <c r="O14" i="5"/>
  <c r="P14" i="5" s="1"/>
  <c r="L14" i="14"/>
  <c r="M14" i="14"/>
  <c r="L33" i="14"/>
  <c r="O33" i="14"/>
  <c r="N33" i="14"/>
  <c r="L29" i="14"/>
  <c r="O29" i="14"/>
  <c r="N29" i="14"/>
  <c r="L25" i="14"/>
  <c r="O25" i="14"/>
  <c r="N25" i="14"/>
  <c r="L21" i="14"/>
  <c r="O21" i="14"/>
  <c r="N21" i="14"/>
  <c r="L17" i="14"/>
  <c r="O17" i="14"/>
  <c r="N17" i="14"/>
  <c r="L15" i="14"/>
  <c r="O15" i="14"/>
  <c r="N15" i="14"/>
  <c r="N29" i="13"/>
  <c r="M29" i="13"/>
  <c r="L29" i="13"/>
  <c r="L25" i="13"/>
  <c r="N25" i="13"/>
  <c r="M25" i="13"/>
  <c r="M21" i="13"/>
  <c r="L21" i="13"/>
  <c r="N21" i="13"/>
  <c r="N17" i="13"/>
  <c r="M17" i="13"/>
  <c r="L17" i="13"/>
  <c r="O59" i="12"/>
  <c r="N59" i="12"/>
  <c r="L59" i="12"/>
  <c r="O57" i="12"/>
  <c r="N57" i="12"/>
  <c r="L57" i="12"/>
  <c r="N53" i="12"/>
  <c r="L53" i="12"/>
  <c r="O53" i="12"/>
  <c r="O49" i="12"/>
  <c r="N49" i="12"/>
  <c r="L49" i="12"/>
  <c r="L45" i="12"/>
  <c r="O45" i="12"/>
  <c r="N45" i="12"/>
  <c r="N41" i="12"/>
  <c r="L41" i="12"/>
  <c r="O41" i="12"/>
  <c r="O37" i="12"/>
  <c r="N37" i="12"/>
  <c r="L37" i="12"/>
  <c r="L33" i="12"/>
  <c r="O33" i="12"/>
  <c r="N33" i="12"/>
  <c r="O29" i="12"/>
  <c r="N29" i="12"/>
  <c r="L29" i="12"/>
  <c r="N25" i="12"/>
  <c r="L25" i="12"/>
  <c r="N21" i="12"/>
  <c r="L21" i="12"/>
  <c r="N17" i="12"/>
  <c r="L17" i="12"/>
  <c r="L15" i="12"/>
  <c r="N15" i="12"/>
  <c r="O87" i="11"/>
  <c r="N87" i="11"/>
  <c r="L87" i="11"/>
  <c r="N83" i="11"/>
  <c r="O79" i="11"/>
  <c r="L79" i="11"/>
  <c r="O75" i="11"/>
  <c r="L75" i="11"/>
  <c r="N75" i="11"/>
  <c r="O67" i="11"/>
  <c r="N67" i="11"/>
  <c r="L67" i="11"/>
  <c r="N59" i="11"/>
  <c r="M59" i="11"/>
  <c r="O55" i="11"/>
  <c r="L55" i="11"/>
  <c r="N51" i="11"/>
  <c r="M51" i="11"/>
  <c r="M47" i="11"/>
  <c r="L47" i="11"/>
  <c r="O43" i="11"/>
  <c r="L43" i="11"/>
  <c r="M39" i="11"/>
  <c r="N39" i="11"/>
  <c r="O35" i="11"/>
  <c r="L35" i="11"/>
  <c r="O31" i="11"/>
  <c r="N31" i="11"/>
  <c r="N27" i="11"/>
  <c r="M27" i="11"/>
  <c r="M19" i="11"/>
  <c r="N19" i="11"/>
  <c r="O25" i="12"/>
  <c r="O21" i="12"/>
  <c r="O17" i="12"/>
  <c r="O15" i="12"/>
  <c r="M15" i="14"/>
  <c r="M17" i="14"/>
  <c r="K19" i="14"/>
  <c r="M21" i="14"/>
  <c r="M25" i="14"/>
  <c r="K27" i="14"/>
  <c r="M29" i="14"/>
  <c r="M33" i="14"/>
  <c r="M15" i="12"/>
  <c r="M89" i="11"/>
  <c r="M71" i="11"/>
  <c r="K18" i="9"/>
  <c r="K15" i="8"/>
  <c r="K17" i="8"/>
  <c r="K19" i="6"/>
  <c r="M63" i="11"/>
  <c r="K23" i="10"/>
  <c r="K18" i="7"/>
  <c r="O22" i="10"/>
  <c r="O16" i="10"/>
  <c r="O25" i="9"/>
  <c r="O21" i="9"/>
  <c r="O17" i="9"/>
  <c r="O15" i="9"/>
  <c r="O26" i="6"/>
  <c r="O22" i="6"/>
  <c r="O18" i="6"/>
  <c r="K23" i="6"/>
  <c r="K21" i="8"/>
  <c r="O14" i="13"/>
  <c r="L14" i="13"/>
  <c r="O32" i="13"/>
  <c r="N32" i="13"/>
  <c r="O28" i="13"/>
  <c r="N28" i="13"/>
  <c r="L28" i="13"/>
  <c r="O24" i="13"/>
  <c r="N24" i="13"/>
  <c r="L24" i="13"/>
  <c r="O20" i="13"/>
  <c r="N20" i="13"/>
  <c r="L20" i="13"/>
  <c r="O16" i="13"/>
  <c r="N16" i="13"/>
  <c r="L16" i="13"/>
  <c r="N56" i="12"/>
  <c r="N52" i="12"/>
  <c r="L52" i="12"/>
  <c r="N48" i="12"/>
  <c r="N44" i="12"/>
  <c r="L44" i="12"/>
  <c r="N40" i="12"/>
  <c r="N36" i="12"/>
  <c r="L36" i="12"/>
  <c r="N32" i="12"/>
  <c r="N28" i="12"/>
  <c r="L28" i="12"/>
  <c r="N20" i="12"/>
  <c r="L20" i="12"/>
  <c r="N88" i="11"/>
  <c r="L88" i="11"/>
  <c r="N86" i="11"/>
  <c r="L86" i="11"/>
  <c r="N82" i="11"/>
  <c r="L82" i="11"/>
  <c r="L78" i="11"/>
  <c r="N78" i="11"/>
  <c r="L74" i="11"/>
  <c r="N74" i="11"/>
  <c r="L70" i="11"/>
  <c r="N70" i="11"/>
  <c r="N66" i="11"/>
  <c r="L66" i="11"/>
  <c r="N62" i="11"/>
  <c r="L62" i="11"/>
  <c r="N58" i="11"/>
  <c r="L58" i="11"/>
  <c r="N54" i="11"/>
  <c r="L54" i="11"/>
  <c r="N50" i="11"/>
  <c r="L50" i="11"/>
  <c r="N46" i="11"/>
  <c r="L46" i="11"/>
  <c r="L42" i="11"/>
  <c r="O42" i="11"/>
  <c r="N42" i="11"/>
  <c r="L38" i="11"/>
  <c r="N38" i="11"/>
  <c r="L34" i="11"/>
  <c r="N34" i="11"/>
  <c r="N30" i="11"/>
  <c r="L30" i="11"/>
  <c r="N26" i="11"/>
  <c r="L26" i="11"/>
  <c r="N22" i="11"/>
  <c r="L22" i="11"/>
  <c r="N18" i="11"/>
  <c r="L18" i="11"/>
  <c r="O24" i="12"/>
  <c r="O20" i="12"/>
  <c r="O16" i="12"/>
  <c r="O23" i="11"/>
  <c r="K23" i="11"/>
  <c r="K16" i="12"/>
  <c r="K20" i="12"/>
  <c r="K24" i="12"/>
  <c r="K15" i="9"/>
  <c r="K17" i="9"/>
  <c r="K21" i="9"/>
  <c r="K25" i="9"/>
  <c r="K24" i="8"/>
  <c r="K20" i="8"/>
  <c r="L14" i="7"/>
  <c r="N14" i="7"/>
  <c r="L14" i="10"/>
  <c r="O14" i="10"/>
  <c r="O14" i="6"/>
  <c r="N14" i="6"/>
  <c r="L14" i="6"/>
  <c r="N89" i="11"/>
  <c r="L89" i="11"/>
  <c r="M83" i="11"/>
  <c r="L83" i="11"/>
  <c r="N79" i="11"/>
  <c r="M79" i="11"/>
  <c r="N71" i="11"/>
  <c r="L71" i="11"/>
  <c r="N63" i="11"/>
  <c r="L63" i="11"/>
  <c r="L59" i="11"/>
  <c r="O59" i="11"/>
  <c r="N55" i="11"/>
  <c r="M55" i="11"/>
  <c r="L51" i="11"/>
  <c r="O51" i="11"/>
  <c r="O47" i="11"/>
  <c r="N47" i="11"/>
  <c r="N43" i="11"/>
  <c r="M43" i="11"/>
  <c r="L39" i="11"/>
  <c r="O39" i="11"/>
  <c r="N35" i="11"/>
  <c r="M35" i="11"/>
  <c r="M31" i="11"/>
  <c r="L31" i="11"/>
  <c r="L27" i="11"/>
  <c r="N23" i="11"/>
  <c r="M23" i="11"/>
  <c r="L19" i="11"/>
  <c r="O19" i="11"/>
  <c r="O95" i="10"/>
  <c r="N95" i="10"/>
  <c r="L93" i="10"/>
  <c r="O93" i="10"/>
  <c r="O89" i="10"/>
  <c r="N89" i="10"/>
  <c r="L85" i="10"/>
  <c r="O85" i="10"/>
  <c r="O83" i="10"/>
  <c r="N83" i="10"/>
  <c r="L79" i="10"/>
  <c r="O79" i="10"/>
  <c r="O75" i="10"/>
  <c r="N75" i="10"/>
  <c r="L73" i="10"/>
  <c r="O73" i="10"/>
  <c r="O69" i="10"/>
  <c r="N69" i="10"/>
  <c r="L65" i="10"/>
  <c r="O65" i="10"/>
  <c r="O61" i="10"/>
  <c r="N61" i="10"/>
  <c r="L57" i="10"/>
  <c r="O57" i="10"/>
  <c r="O53" i="10"/>
  <c r="N53" i="10"/>
  <c r="L49" i="10"/>
  <c r="O49" i="10"/>
  <c r="O45" i="10"/>
  <c r="N45" i="10"/>
  <c r="L41" i="10"/>
  <c r="O41" i="10"/>
  <c r="O37" i="10"/>
  <c r="N37" i="10"/>
  <c r="L33" i="10"/>
  <c r="O33" i="10"/>
  <c r="O29" i="10"/>
  <c r="N29" i="10"/>
  <c r="L25" i="10"/>
  <c r="O25" i="10"/>
  <c r="O21" i="10"/>
  <c r="N21" i="10"/>
  <c r="L17" i="10"/>
  <c r="O17" i="10"/>
  <c r="O15" i="10"/>
  <c r="N15" i="10"/>
  <c r="N14" i="14"/>
  <c r="N14" i="10"/>
  <c r="L35" i="9"/>
  <c r="O35" i="9"/>
  <c r="N35" i="9"/>
  <c r="L31" i="9"/>
  <c r="O31" i="9"/>
  <c r="N31" i="9"/>
  <c r="L27" i="9"/>
  <c r="L23" i="9"/>
  <c r="N23" i="9"/>
  <c r="O23" i="9"/>
  <c r="O19" i="9"/>
  <c r="N19" i="9"/>
  <c r="L19" i="9"/>
  <c r="N25" i="8"/>
  <c r="L25" i="8"/>
  <c r="O25" i="8"/>
  <c r="O21" i="8"/>
  <c r="N21" i="8"/>
  <c r="L21" i="8"/>
  <c r="N17" i="8"/>
  <c r="M17" i="8"/>
  <c r="L17" i="8"/>
  <c r="O17" i="8"/>
  <c r="N15" i="8"/>
  <c r="L15" i="8"/>
  <c r="O15" i="8"/>
  <c r="M80" i="7"/>
  <c r="L80" i="7"/>
  <c r="N80" i="7"/>
  <c r="N76" i="7"/>
  <c r="M76" i="7"/>
  <c r="L76" i="7"/>
  <c r="M69" i="7"/>
  <c r="L69" i="7"/>
  <c r="N69" i="7"/>
  <c r="N65" i="7"/>
  <c r="M65" i="7"/>
  <c r="L65" i="7"/>
  <c r="N61" i="7"/>
  <c r="M61" i="7"/>
  <c r="L61" i="7"/>
  <c r="N57" i="7"/>
  <c r="M57" i="7"/>
  <c r="L57" i="7"/>
  <c r="M53" i="7"/>
  <c r="L53" i="7"/>
  <c r="N53" i="7"/>
  <c r="N49" i="7"/>
  <c r="L49" i="7"/>
  <c r="O49" i="7"/>
  <c r="L45" i="7"/>
  <c r="O45" i="7"/>
  <c r="N45" i="7"/>
  <c r="M45" i="7"/>
  <c r="L43" i="7"/>
  <c r="N43" i="7"/>
  <c r="M43" i="7"/>
  <c r="O39" i="7"/>
  <c r="N39" i="7"/>
  <c r="L39" i="7"/>
  <c r="O35" i="7"/>
  <c r="N35" i="7"/>
  <c r="L35" i="7"/>
  <c r="M31" i="7"/>
  <c r="L31" i="7"/>
  <c r="O31" i="7"/>
  <c r="N31" i="7"/>
  <c r="O27" i="7"/>
  <c r="N27" i="7"/>
  <c r="L27" i="7"/>
  <c r="O21" i="7"/>
  <c r="N21" i="7"/>
  <c r="L21" i="7"/>
  <c r="N17" i="7"/>
  <c r="L17" i="7"/>
  <c r="O17" i="7"/>
  <c r="L33" i="6"/>
  <c r="O33" i="6"/>
  <c r="N33" i="6"/>
  <c r="O29" i="6"/>
  <c r="N29" i="6"/>
  <c r="L29" i="6"/>
  <c r="L25" i="6"/>
  <c r="O25" i="6"/>
  <c r="N25" i="6"/>
  <c r="O21" i="6"/>
  <c r="N21" i="6"/>
  <c r="L21" i="6"/>
  <c r="L17" i="6"/>
  <c r="O17" i="6"/>
  <c r="N17" i="6"/>
  <c r="O15" i="6"/>
  <c r="N15" i="6"/>
  <c r="L15" i="6"/>
  <c r="M67" i="11"/>
  <c r="M75" i="11"/>
  <c r="K14" i="11"/>
  <c r="M14" i="10"/>
  <c r="M15" i="10"/>
  <c r="M17" i="10"/>
  <c r="M21" i="10"/>
  <c r="M25" i="10"/>
  <c r="M29" i="10"/>
  <c r="M33" i="10"/>
  <c r="M37" i="10"/>
  <c r="M41" i="10"/>
  <c r="M45" i="10"/>
  <c r="M49" i="10"/>
  <c r="M53" i="10"/>
  <c r="M57" i="10"/>
  <c r="M61" i="10"/>
  <c r="M65" i="10"/>
  <c r="M69" i="10"/>
  <c r="M73" i="10"/>
  <c r="M75" i="10"/>
  <c r="M79" i="10"/>
  <c r="M83" i="10"/>
  <c r="M85" i="10"/>
  <c r="M89" i="10"/>
  <c r="M93" i="10"/>
  <c r="M95" i="10"/>
  <c r="M27" i="9"/>
  <c r="M35" i="9"/>
  <c r="M19" i="9"/>
  <c r="M17" i="7"/>
  <c r="M49" i="7"/>
  <c r="O14" i="11"/>
  <c r="K16" i="4"/>
  <c r="M23" i="4"/>
  <c r="M28" i="4"/>
  <c r="P28" i="4" s="1"/>
  <c r="K30" i="4"/>
  <c r="M47" i="4"/>
  <c r="M50" i="4"/>
  <c r="K52" i="4"/>
  <c r="M73" i="4"/>
  <c r="K78" i="4"/>
  <c r="M96" i="4"/>
  <c r="P96" i="4" s="1"/>
  <c r="K99" i="4"/>
  <c r="M101" i="4"/>
  <c r="M36" i="5"/>
  <c r="P36" i="5" s="1"/>
  <c r="K36" i="5"/>
  <c r="M48" i="5"/>
  <c r="P48" i="5" s="1"/>
  <c r="K48" i="5"/>
  <c r="M64" i="5"/>
  <c r="K64" i="5"/>
  <c r="M78" i="5"/>
  <c r="P78" i="5" s="1"/>
  <c r="K78" i="5"/>
  <c r="M89" i="5"/>
  <c r="P89" i="5" s="1"/>
  <c r="K89" i="5"/>
  <c r="M24" i="4"/>
  <c r="M35" i="4"/>
  <c r="M39" i="4"/>
  <c r="M43" i="4"/>
  <c r="M48" i="4"/>
  <c r="M54" i="4"/>
  <c r="M58" i="4"/>
  <c r="M62" i="4"/>
  <c r="M66" i="4"/>
  <c r="M70" i="4"/>
  <c r="P70" i="4" s="1"/>
  <c r="M74" i="4"/>
  <c r="M80" i="4"/>
  <c r="M86" i="4"/>
  <c r="M90" i="4"/>
  <c r="M94" i="4"/>
  <c r="M26" i="5"/>
  <c r="P26" i="5" s="1"/>
  <c r="K26" i="5"/>
  <c r="M40" i="5"/>
  <c r="P40" i="5" s="1"/>
  <c r="K40" i="5"/>
  <c r="M52" i="5"/>
  <c r="P52" i="5" s="1"/>
  <c r="K52" i="5"/>
  <c r="K68" i="5"/>
  <c r="M82" i="5"/>
  <c r="P82" i="5" s="1"/>
  <c r="K82" i="5"/>
  <c r="M102" i="5"/>
  <c r="P102" i="5" s="1"/>
  <c r="K102" i="5"/>
  <c r="M111" i="5"/>
  <c r="P111" i="5" s="1"/>
  <c r="K111" i="5"/>
  <c r="M16" i="5"/>
  <c r="P16" i="5" s="1"/>
  <c r="K16" i="5"/>
  <c r="M44" i="5"/>
  <c r="P44" i="5" s="1"/>
  <c r="K44" i="5"/>
  <c r="M56" i="5"/>
  <c r="P56" i="5" s="1"/>
  <c r="K56" i="5"/>
  <c r="M86" i="5"/>
  <c r="P86" i="5" s="1"/>
  <c r="K86" i="5"/>
  <c r="M93" i="5"/>
  <c r="P93" i="5" s="1"/>
  <c r="K93" i="5"/>
  <c r="K20" i="4"/>
  <c r="K34" i="4"/>
  <c r="K107" i="4"/>
  <c r="M20" i="5"/>
  <c r="P20" i="5" s="1"/>
  <c r="K20" i="5"/>
  <c r="M32" i="5"/>
  <c r="P32" i="5" s="1"/>
  <c r="K32" i="5"/>
  <c r="M60" i="5"/>
  <c r="P60" i="5" s="1"/>
  <c r="K60" i="5"/>
  <c r="M74" i="5"/>
  <c r="P74" i="5" s="1"/>
  <c r="K74" i="5"/>
  <c r="K98" i="5"/>
  <c r="M98" i="5"/>
  <c r="M107" i="5"/>
  <c r="P107" i="5" s="1"/>
  <c r="K107" i="5"/>
  <c r="M94" i="5"/>
  <c r="K96" i="5"/>
  <c r="K113" i="5"/>
  <c r="K117" i="5"/>
  <c r="K121" i="5"/>
  <c r="K125" i="5"/>
  <c r="K129" i="5"/>
  <c r="K17" i="5"/>
  <c r="K21" i="5"/>
  <c r="K23" i="5"/>
  <c r="K27" i="5"/>
  <c r="K29" i="5"/>
  <c r="K33" i="5"/>
  <c r="K37" i="5"/>
  <c r="K41" i="5"/>
  <c r="K45" i="5"/>
  <c r="K49" i="5"/>
  <c r="K53" i="5"/>
  <c r="K57" i="5"/>
  <c r="K61" i="5"/>
  <c r="K65" i="5"/>
  <c r="K69" i="5"/>
  <c r="K71" i="5"/>
  <c r="K75" i="5"/>
  <c r="K79" i="5"/>
  <c r="K83" i="5"/>
  <c r="K87" i="5"/>
  <c r="K103" i="5"/>
  <c r="M16" i="14"/>
  <c r="K18" i="14"/>
  <c r="M20" i="14"/>
  <c r="M24" i="14"/>
  <c r="K26" i="14"/>
  <c r="M28" i="14"/>
  <c r="M32" i="14"/>
  <c r="K34" i="14"/>
  <c r="M17" i="12"/>
  <c r="K17" i="12"/>
  <c r="K19" i="12"/>
  <c r="M19" i="12"/>
  <c r="M21" i="12"/>
  <c r="K21" i="12"/>
  <c r="K23" i="12"/>
  <c r="M23" i="12"/>
  <c r="M25" i="12"/>
  <c r="K25" i="12"/>
  <c r="K27" i="12"/>
  <c r="M27" i="12"/>
  <c r="M29" i="12"/>
  <c r="K29" i="12"/>
  <c r="K31" i="12"/>
  <c r="M31" i="12"/>
  <c r="M33" i="12"/>
  <c r="K33" i="12"/>
  <c r="K35" i="12"/>
  <c r="M35" i="12"/>
  <c r="M37" i="12"/>
  <c r="K37" i="12"/>
  <c r="K39" i="12"/>
  <c r="M39" i="12"/>
  <c r="M41" i="12"/>
  <c r="K41" i="12"/>
  <c r="K43" i="12"/>
  <c r="M43" i="12"/>
  <c r="M45" i="12"/>
  <c r="K45" i="12"/>
  <c r="K47" i="12"/>
  <c r="M47" i="12"/>
  <c r="M49" i="12"/>
  <c r="K49" i="12"/>
  <c r="K51" i="12"/>
  <c r="M51" i="12"/>
  <c r="M53" i="12"/>
  <c r="K53" i="12"/>
  <c r="K55" i="12"/>
  <c r="M55" i="12"/>
  <c r="M57" i="12"/>
  <c r="K57" i="12"/>
  <c r="M59" i="12"/>
  <c r="K59" i="12"/>
  <c r="K15" i="12"/>
  <c r="K20" i="11"/>
  <c r="M20" i="11"/>
  <c r="K36" i="11"/>
  <c r="M36" i="11"/>
  <c r="K52" i="11"/>
  <c r="M52" i="11"/>
  <c r="K64" i="11"/>
  <c r="M64" i="11"/>
  <c r="K80" i="11"/>
  <c r="M80" i="11"/>
  <c r="K16" i="11"/>
  <c r="M16" i="11"/>
  <c r="M25" i="11"/>
  <c r="K32" i="11"/>
  <c r="M32" i="11"/>
  <c r="M41" i="11"/>
  <c r="K48" i="11"/>
  <c r="M48" i="11"/>
  <c r="K60" i="11"/>
  <c r="M60" i="11"/>
  <c r="M21" i="11"/>
  <c r="K28" i="11"/>
  <c r="M28" i="11"/>
  <c r="M37" i="11"/>
  <c r="K44" i="11"/>
  <c r="M44" i="11"/>
  <c r="M53" i="11"/>
  <c r="K68" i="11"/>
  <c r="M68" i="11"/>
  <c r="M87" i="11"/>
  <c r="K87" i="11"/>
  <c r="K24" i="11"/>
  <c r="M24" i="11"/>
  <c r="K40" i="11"/>
  <c r="M40" i="11"/>
  <c r="P40" i="11" s="1"/>
  <c r="K56" i="11"/>
  <c r="M56" i="11"/>
  <c r="K57" i="11"/>
  <c r="M57" i="11"/>
  <c r="M16" i="10"/>
  <c r="K16" i="10"/>
  <c r="M22" i="10"/>
  <c r="K22" i="10"/>
  <c r="M30" i="10"/>
  <c r="K30" i="10"/>
  <c r="M38" i="10"/>
  <c r="K38" i="10"/>
  <c r="M46" i="10"/>
  <c r="K46" i="10"/>
  <c r="M54" i="10"/>
  <c r="K54" i="10"/>
  <c r="M62" i="10"/>
  <c r="K62" i="10"/>
  <c r="M70" i="10"/>
  <c r="K70" i="10"/>
  <c r="M76" i="10"/>
  <c r="K76" i="10"/>
  <c r="M90" i="10"/>
  <c r="K90" i="10"/>
  <c r="K21" i="7"/>
  <c r="M21" i="7"/>
  <c r="K27" i="7"/>
  <c r="M27" i="7"/>
  <c r="K35" i="7"/>
  <c r="M35" i="7"/>
  <c r="M23" i="9"/>
  <c r="K23" i="9"/>
  <c r="M31" i="9"/>
  <c r="K31" i="9"/>
  <c r="K17" i="10"/>
  <c r="K25" i="10"/>
  <c r="K33" i="10"/>
  <c r="K41" i="10"/>
  <c r="K49" i="10"/>
  <c r="K57" i="10"/>
  <c r="K65" i="10"/>
  <c r="K73" i="10"/>
  <c r="K79" i="10"/>
  <c r="K85" i="10"/>
  <c r="K93" i="10"/>
  <c r="M22" i="8"/>
  <c r="K22" i="8"/>
  <c r="M72" i="11"/>
  <c r="M76" i="11"/>
  <c r="M20" i="9"/>
  <c r="K20" i="9"/>
  <c r="K25" i="8"/>
  <c r="M25" i="8"/>
  <c r="K32" i="7"/>
  <c r="M32" i="7"/>
  <c r="M15" i="9"/>
  <c r="M29" i="9"/>
  <c r="K39" i="7"/>
  <c r="M39" i="7"/>
  <c r="K46" i="7"/>
  <c r="M46" i="7"/>
  <c r="M66" i="7"/>
  <c r="M77" i="7"/>
  <c r="K23" i="7"/>
  <c r="K33" i="7"/>
  <c r="K41" i="7"/>
  <c r="M18" i="6"/>
  <c r="K18" i="6"/>
  <c r="M26" i="6"/>
  <c r="K26" i="6"/>
  <c r="M22" i="6"/>
  <c r="K22" i="6"/>
  <c r="M30" i="6"/>
  <c r="K30" i="6"/>
  <c r="M14" i="4"/>
  <c r="P14" i="4" s="1"/>
  <c r="N14" i="9"/>
  <c r="L14" i="9"/>
  <c r="O94" i="10"/>
  <c r="N94" i="10"/>
  <c r="O92" i="10"/>
  <c r="N92" i="10"/>
  <c r="O88" i="10"/>
  <c r="N88" i="10"/>
  <c r="O84" i="10"/>
  <c r="N84" i="10"/>
  <c r="O82" i="10"/>
  <c r="N82" i="10"/>
  <c r="O78" i="10"/>
  <c r="N78" i="10"/>
  <c r="O72" i="10"/>
  <c r="N72" i="10"/>
  <c r="O68" i="10"/>
  <c r="N68" i="10"/>
  <c r="O64" i="10"/>
  <c r="N64" i="10"/>
  <c r="O60" i="10"/>
  <c r="N60" i="10"/>
  <c r="O56" i="10"/>
  <c r="N56" i="10"/>
  <c r="O52" i="10"/>
  <c r="N52" i="10"/>
  <c r="O48" i="10"/>
  <c r="N48" i="10"/>
  <c r="O44" i="10"/>
  <c r="N44" i="10"/>
  <c r="O40" i="10"/>
  <c r="N40" i="10"/>
  <c r="O36" i="10"/>
  <c r="N36" i="10"/>
  <c r="O32" i="10"/>
  <c r="N32" i="10"/>
  <c r="O28" i="10"/>
  <c r="N28" i="10"/>
  <c r="O24" i="10"/>
  <c r="N24" i="10"/>
  <c r="O20" i="10"/>
  <c r="N20" i="10"/>
  <c r="N14" i="13"/>
  <c r="M14" i="9"/>
  <c r="O34" i="9"/>
  <c r="N34" i="9"/>
  <c r="L34" i="9"/>
  <c r="O30" i="9"/>
  <c r="N30" i="9"/>
  <c r="L26" i="9"/>
  <c r="O26" i="9"/>
  <c r="L22" i="9"/>
  <c r="O22" i="9"/>
  <c r="O18" i="9"/>
  <c r="N18" i="9"/>
  <c r="L16" i="9"/>
  <c r="O16" i="9"/>
  <c r="M24" i="8"/>
  <c r="L24" i="8"/>
  <c r="O24" i="8"/>
  <c r="N24" i="8"/>
  <c r="L20" i="8"/>
  <c r="O20" i="8"/>
  <c r="N20" i="8"/>
  <c r="M20" i="8"/>
  <c r="L79" i="7"/>
  <c r="O79" i="7"/>
  <c r="N79" i="7"/>
  <c r="L75" i="7"/>
  <c r="O75" i="7"/>
  <c r="N75" i="7"/>
  <c r="N72" i="7"/>
  <c r="L72" i="7"/>
  <c r="N68" i="7"/>
  <c r="L68" i="7"/>
  <c r="L64" i="7"/>
  <c r="N64" i="7"/>
  <c r="L60" i="7"/>
  <c r="O60" i="7"/>
  <c r="N60" i="7"/>
  <c r="L56" i="7"/>
  <c r="O56" i="7"/>
  <c r="N56" i="7"/>
  <c r="O52" i="7"/>
  <c r="N52" i="7"/>
  <c r="L52" i="7"/>
  <c r="O48" i="7"/>
  <c r="N48" i="7"/>
  <c r="L48" i="7"/>
  <c r="O42" i="7"/>
  <c r="L42" i="7"/>
  <c r="N38" i="7"/>
  <c r="O38" i="7"/>
  <c r="L38" i="7"/>
  <c r="L34" i="7"/>
  <c r="N34" i="7"/>
  <c r="O34" i="7"/>
  <c r="N30" i="7"/>
  <c r="L30" i="7"/>
  <c r="N26" i="7"/>
  <c r="O26" i="7"/>
  <c r="L26" i="7"/>
  <c r="L20" i="7"/>
  <c r="O20" i="7"/>
  <c r="N20" i="7"/>
  <c r="L16" i="7"/>
  <c r="N16" i="7"/>
  <c r="O16" i="7"/>
  <c r="L32" i="6"/>
  <c r="N32" i="6"/>
  <c r="M32" i="6"/>
  <c r="M28" i="6"/>
  <c r="L28" i="6"/>
  <c r="O28" i="6"/>
  <c r="N28" i="6"/>
  <c r="M24" i="6"/>
  <c r="L24" i="6"/>
  <c r="O24" i="6"/>
  <c r="N24" i="6"/>
  <c r="M20" i="6"/>
  <c r="L20" i="6"/>
  <c r="O20" i="6"/>
  <c r="N20" i="6"/>
  <c r="M16" i="6"/>
  <c r="L16" i="6"/>
  <c r="O16" i="6"/>
  <c r="N16" i="6"/>
  <c r="M26" i="9"/>
  <c r="M18" i="9"/>
  <c r="M22" i="9"/>
  <c r="M20" i="10"/>
  <c r="M24" i="10"/>
  <c r="M28" i="10"/>
  <c r="M32" i="10"/>
  <c r="M36" i="10"/>
  <c r="M40" i="10"/>
  <c r="M44" i="10"/>
  <c r="M48" i="10"/>
  <c r="M52" i="10"/>
  <c r="M56" i="10"/>
  <c r="M60" i="10"/>
  <c r="M64" i="10"/>
  <c r="M68" i="10"/>
  <c r="M72" i="10"/>
  <c r="M78" i="10"/>
  <c r="M82" i="10"/>
  <c r="M84" i="10"/>
  <c r="M88" i="10"/>
  <c r="M92" i="10"/>
  <c r="M94" i="10"/>
  <c r="M30" i="9"/>
  <c r="M34" i="9"/>
  <c r="M60" i="7"/>
  <c r="M75" i="7"/>
  <c r="M16" i="7"/>
  <c r="M20" i="7"/>
  <c r="M30" i="7"/>
  <c r="M34" i="7"/>
  <c r="M56" i="7"/>
  <c r="M68" i="7"/>
  <c r="M26" i="7"/>
  <c r="M48" i="7"/>
  <c r="K14" i="6"/>
  <c r="M14" i="6"/>
  <c r="M38" i="7"/>
  <c r="M64" i="7"/>
  <c r="M79" i="7"/>
  <c r="M42" i="7"/>
  <c r="M52" i="7"/>
  <c r="M72" i="7"/>
  <c r="P76" i="5"/>
  <c r="P72" i="4"/>
  <c r="M14" i="11"/>
  <c r="O14" i="7"/>
  <c r="N14" i="11"/>
  <c r="M15" i="5"/>
  <c r="M19" i="5"/>
  <c r="M25" i="5"/>
  <c r="M31" i="5"/>
  <c r="M35" i="5"/>
  <c r="P35" i="5" s="1"/>
  <c r="M39" i="5"/>
  <c r="M43" i="5"/>
  <c r="M47" i="5"/>
  <c r="M51" i="5"/>
  <c r="M55" i="5"/>
  <c r="M59" i="5"/>
  <c r="P59" i="5" s="1"/>
  <c r="M63" i="5"/>
  <c r="M67" i="5"/>
  <c r="M73" i="5"/>
  <c r="M77" i="5"/>
  <c r="M81" i="5"/>
  <c r="M85" i="5"/>
  <c r="M91" i="5"/>
  <c r="M95" i="5"/>
  <c r="M99" i="5"/>
  <c r="P99" i="5" s="1"/>
  <c r="M101" i="5"/>
  <c r="M105" i="5"/>
  <c r="M109" i="5"/>
  <c r="M115" i="5"/>
  <c r="P115" i="5" s="1"/>
  <c r="M119" i="5"/>
  <c r="P119" i="5" s="1"/>
  <c r="M123" i="5"/>
  <c r="M127" i="5"/>
  <c r="K15" i="14"/>
  <c r="K17" i="14"/>
  <c r="M19" i="14"/>
  <c r="K21" i="14"/>
  <c r="M23" i="14"/>
  <c r="K25" i="14"/>
  <c r="M27" i="14"/>
  <c r="K29" i="14"/>
  <c r="M31" i="14"/>
  <c r="K33" i="14"/>
  <c r="K20" i="13"/>
  <c r="M20" i="13"/>
  <c r="K28" i="13"/>
  <c r="M28" i="13"/>
  <c r="M18" i="13"/>
  <c r="K18" i="13"/>
  <c r="M26" i="13"/>
  <c r="K26" i="13"/>
  <c r="K16" i="13"/>
  <c r="M16" i="13"/>
  <c r="K24" i="13"/>
  <c r="M24" i="13"/>
  <c r="K32" i="13"/>
  <c r="M32" i="13"/>
  <c r="M14" i="13"/>
  <c r="K14" i="13"/>
  <c r="M22" i="13"/>
  <c r="K22" i="13"/>
  <c r="M30" i="13"/>
  <c r="K30" i="13"/>
  <c r="M14" i="12"/>
  <c r="M16" i="12"/>
  <c r="K18" i="12"/>
  <c r="M20" i="12"/>
  <c r="K22" i="12"/>
  <c r="M24" i="12"/>
  <c r="K26" i="12"/>
  <c r="M28" i="12"/>
  <c r="K30" i="12"/>
  <c r="M32" i="12"/>
  <c r="K34" i="12"/>
  <c r="M36" i="12"/>
  <c r="K38" i="12"/>
  <c r="M40" i="12"/>
  <c r="K42" i="12"/>
  <c r="M44" i="12"/>
  <c r="K46" i="12"/>
  <c r="M48" i="12"/>
  <c r="K50" i="12"/>
  <c r="M52" i="12"/>
  <c r="K54" i="12"/>
  <c r="M56" i="12"/>
  <c r="K58" i="12"/>
  <c r="K60" i="12"/>
  <c r="M18" i="11"/>
  <c r="M22" i="11"/>
  <c r="M26" i="11"/>
  <c r="M30" i="11"/>
  <c r="M34" i="11"/>
  <c r="M38" i="11"/>
  <c r="M42" i="11"/>
  <c r="M46" i="11"/>
  <c r="M50" i="11"/>
  <c r="M54" i="11"/>
  <c r="M58" i="11"/>
  <c r="M62" i="11"/>
  <c r="M66" i="11"/>
  <c r="M70" i="11"/>
  <c r="M74" i="11"/>
  <c r="M78" i="11"/>
  <c r="M82" i="11"/>
  <c r="M86" i="11"/>
  <c r="M88" i="11"/>
  <c r="M77" i="11"/>
  <c r="M81" i="11"/>
  <c r="M85" i="11"/>
  <c r="K14" i="10"/>
  <c r="K20" i="10"/>
  <c r="K24" i="10"/>
  <c r="K28" i="10"/>
  <c r="K32" i="10"/>
  <c r="K36" i="10"/>
  <c r="K40" i="10"/>
  <c r="K44" i="10"/>
  <c r="K48" i="10"/>
  <c r="K52" i="10"/>
  <c r="K56" i="10"/>
  <c r="K60" i="10"/>
  <c r="K64" i="10"/>
  <c r="K68" i="10"/>
  <c r="K72" i="10"/>
  <c r="K78" i="10"/>
  <c r="K82" i="10"/>
  <c r="K84" i="10"/>
  <c r="K88" i="10"/>
  <c r="K92" i="10"/>
  <c r="K94" i="10"/>
  <c r="M16" i="9"/>
  <c r="K16" i="9"/>
  <c r="K30" i="9"/>
  <c r="M25" i="9"/>
  <c r="M21" i="9"/>
  <c r="K22" i="9"/>
  <c r="K40" i="7"/>
  <c r="M40" i="7"/>
  <c r="M47" i="7"/>
  <c r="K47" i="7"/>
  <c r="K70" i="7"/>
  <c r="M70" i="7"/>
  <c r="M78" i="7"/>
  <c r="K78" i="7"/>
  <c r="K22" i="7"/>
  <c r="M22" i="7"/>
  <c r="K54" i="7"/>
  <c r="M54" i="7"/>
  <c r="M55" i="7"/>
  <c r="K55" i="7"/>
  <c r="K58" i="7"/>
  <c r="M58" i="7"/>
  <c r="M18" i="8"/>
  <c r="K18" i="8"/>
  <c r="M26" i="8"/>
  <c r="K26" i="8"/>
  <c r="K19" i="7"/>
  <c r="K37" i="7"/>
  <c r="K67" i="7"/>
  <c r="M15" i="8"/>
  <c r="M21" i="8"/>
  <c r="K44" i="7"/>
  <c r="M44" i="7"/>
  <c r="K73" i="7"/>
  <c r="M73" i="7"/>
  <c r="K14" i="7"/>
  <c r="M14" i="7"/>
  <c r="M15" i="7"/>
  <c r="K15" i="7"/>
  <c r="K24" i="7"/>
  <c r="M24" i="7"/>
  <c r="M25" i="7"/>
  <c r="K25" i="7"/>
  <c r="K59" i="7"/>
  <c r="K74" i="7"/>
  <c r="M15" i="6"/>
  <c r="K15" i="6"/>
  <c r="M29" i="6"/>
  <c r="K29" i="6"/>
  <c r="M17" i="6"/>
  <c r="K17" i="6"/>
  <c r="M33" i="6"/>
  <c r="K33" i="6"/>
  <c r="M21" i="6"/>
  <c r="K21" i="6"/>
  <c r="M25" i="6"/>
  <c r="K25" i="6"/>
  <c r="K19" i="4"/>
  <c r="K21" i="4"/>
  <c r="K25" i="4"/>
  <c r="K29" i="4"/>
  <c r="K51" i="4"/>
  <c r="K55" i="4"/>
  <c r="K59" i="4"/>
  <c r="K67" i="4"/>
  <c r="K77" i="4"/>
  <c r="K81" i="4"/>
  <c r="K87" i="4"/>
  <c r="K91" i="4"/>
  <c r="M97" i="4"/>
  <c r="K98" i="4"/>
  <c r="M105" i="4"/>
  <c r="K106" i="4"/>
  <c r="K15" i="4"/>
  <c r="K33" i="4"/>
  <c r="K37" i="4"/>
  <c r="K41" i="4"/>
  <c r="K45" i="4"/>
  <c r="K63" i="4"/>
  <c r="K71" i="4"/>
  <c r="K75" i="4"/>
  <c r="L108" i="4" l="1"/>
  <c r="I16" i="2" s="1"/>
  <c r="P32" i="13"/>
  <c r="P15" i="13"/>
  <c r="P64" i="11"/>
  <c r="P90" i="10"/>
  <c r="P42" i="5"/>
  <c r="P34" i="5"/>
  <c r="P126" i="5"/>
  <c r="P127" i="5"/>
  <c r="P77" i="5"/>
  <c r="P94" i="5"/>
  <c r="P19" i="5"/>
  <c r="P50" i="4"/>
  <c r="P98" i="5"/>
  <c r="P89" i="4"/>
  <c r="P85" i="5"/>
  <c r="P25" i="11"/>
  <c r="P49" i="4"/>
  <c r="P90" i="4"/>
  <c r="P20" i="4"/>
  <c r="P30" i="10"/>
  <c r="P99" i="4"/>
  <c r="P54" i="5"/>
  <c r="P63" i="5"/>
  <c r="P47" i="5"/>
  <c r="P97" i="5"/>
  <c r="P95" i="5"/>
  <c r="P83" i="5"/>
  <c r="P48" i="4"/>
  <c r="P44" i="7"/>
  <c r="P24" i="9"/>
  <c r="P41" i="11"/>
  <c r="P118" i="5"/>
  <c r="P104" i="5"/>
  <c r="P18" i="5"/>
  <c r="P117" i="5"/>
  <c r="P65" i="11"/>
  <c r="P27" i="14"/>
  <c r="P58" i="4"/>
  <c r="P64" i="5"/>
  <c r="P26" i="12"/>
  <c r="P91" i="4"/>
  <c r="P81" i="4"/>
  <c r="P19" i="4"/>
  <c r="P87" i="4"/>
  <c r="P76" i="4"/>
  <c r="P44" i="4"/>
  <c r="P25" i="4"/>
  <c r="P18" i="12"/>
  <c r="P26" i="14"/>
  <c r="P15" i="12"/>
  <c r="P18" i="13"/>
  <c r="P23" i="13"/>
  <c r="P24" i="13"/>
  <c r="P74" i="7"/>
  <c r="P50" i="12"/>
  <c r="P34" i="12"/>
  <c r="P18" i="14"/>
  <c r="P75" i="5"/>
  <c r="P29" i="4"/>
  <c r="P59" i="4"/>
  <c r="E69" i="5"/>
  <c r="N69" i="5" s="1"/>
  <c r="P22" i="7"/>
  <c r="P20" i="13"/>
  <c r="P39" i="4"/>
  <c r="P89" i="11"/>
  <c r="P129" i="5"/>
  <c r="P121" i="5"/>
  <c r="P113" i="5"/>
  <c r="P26" i="4"/>
  <c r="P92" i="5"/>
  <c r="P73" i="7"/>
  <c r="P21" i="8"/>
  <c r="P55" i="7"/>
  <c r="P56" i="11"/>
  <c r="P68" i="11"/>
  <c r="M68" i="5"/>
  <c r="P101" i="4"/>
  <c r="P34" i="14"/>
  <c r="P15" i="14"/>
  <c r="P17" i="14"/>
  <c r="P28" i="14"/>
  <c r="P31" i="14"/>
  <c r="P19" i="14"/>
  <c r="P32" i="14"/>
  <c r="P20" i="14"/>
  <c r="P29" i="14"/>
  <c r="P26" i="13"/>
  <c r="P19" i="13"/>
  <c r="L40" i="13"/>
  <c r="I25" i="2" s="1"/>
  <c r="P22" i="13"/>
  <c r="P30" i="13"/>
  <c r="P16" i="13"/>
  <c r="P28" i="13"/>
  <c r="P47" i="12"/>
  <c r="P31" i="12"/>
  <c r="P20" i="12"/>
  <c r="P55" i="12"/>
  <c r="P39" i="12"/>
  <c r="P23" i="12"/>
  <c r="P58" i="12"/>
  <c r="P46" i="12"/>
  <c r="P22" i="12"/>
  <c r="P38" i="12"/>
  <c r="P51" i="12"/>
  <c r="P43" i="12"/>
  <c r="P35" i="12"/>
  <c r="P27" i="12"/>
  <c r="P19" i="12"/>
  <c r="P54" i="12"/>
  <c r="P30" i="12"/>
  <c r="P42" i="12"/>
  <c r="P60" i="12"/>
  <c r="P24" i="12"/>
  <c r="P16" i="12"/>
  <c r="P80" i="11"/>
  <c r="P32" i="11"/>
  <c r="P79" i="11"/>
  <c r="P47" i="11"/>
  <c r="P55" i="11"/>
  <c r="P39" i="11"/>
  <c r="P72" i="11"/>
  <c r="P48" i="11"/>
  <c r="P42" i="11"/>
  <c r="P53" i="11"/>
  <c r="P81" i="11"/>
  <c r="P45" i="11"/>
  <c r="P84" i="11"/>
  <c r="P57" i="11"/>
  <c r="P37" i="11"/>
  <c r="P23" i="11"/>
  <c r="P63" i="11"/>
  <c r="P71" i="11"/>
  <c r="P85" i="11"/>
  <c r="P28" i="11"/>
  <c r="P36" i="11"/>
  <c r="P77" i="11"/>
  <c r="P44" i="11"/>
  <c r="P31" i="11"/>
  <c r="P60" i="11"/>
  <c r="P52" i="11"/>
  <c r="P70" i="10"/>
  <c r="P38" i="10"/>
  <c r="P46" i="10"/>
  <c r="P54" i="10"/>
  <c r="P34" i="10"/>
  <c r="P76" i="10"/>
  <c r="P62" i="10"/>
  <c r="P21" i="9"/>
  <c r="P20" i="9"/>
  <c r="P32" i="9"/>
  <c r="P25" i="9"/>
  <c r="P26" i="8"/>
  <c r="P22" i="8"/>
  <c r="P18" i="8"/>
  <c r="P15" i="8"/>
  <c r="P25" i="7"/>
  <c r="P15" i="7"/>
  <c r="P41" i="7"/>
  <c r="P71" i="7"/>
  <c r="P23" i="7"/>
  <c r="P46" i="7"/>
  <c r="P18" i="7"/>
  <c r="P36" i="7"/>
  <c r="P78" i="7"/>
  <c r="P62" i="7"/>
  <c r="P70" i="7"/>
  <c r="P40" i="7"/>
  <c r="P33" i="7"/>
  <c r="P59" i="7"/>
  <c r="P50" i="7"/>
  <c r="P24" i="7"/>
  <c r="P58" i="7"/>
  <c r="P54" i="7"/>
  <c r="P77" i="7"/>
  <c r="P32" i="7"/>
  <c r="P47" i="7"/>
  <c r="P28" i="7"/>
  <c r="P14" i="6"/>
  <c r="P33" i="6"/>
  <c r="P17" i="6"/>
  <c r="P30" i="6"/>
  <c r="P21" i="6"/>
  <c r="P15" i="6"/>
  <c r="P25" i="6"/>
  <c r="P29" i="6"/>
  <c r="P106" i="5"/>
  <c r="P112" i="5"/>
  <c r="P70" i="5"/>
  <c r="P84" i="5"/>
  <c r="P61" i="5"/>
  <c r="P101" i="5"/>
  <c r="P15" i="5"/>
  <c r="P125" i="5"/>
  <c r="P73" i="5"/>
  <c r="P55" i="5"/>
  <c r="P43" i="5"/>
  <c r="O66" i="5"/>
  <c r="M66" i="5"/>
  <c r="L68" i="5"/>
  <c r="N68" i="5"/>
  <c r="O68" i="5"/>
  <c r="P33" i="5"/>
  <c r="N66" i="5"/>
  <c r="P88" i="5"/>
  <c r="P128" i="5"/>
  <c r="P120" i="5"/>
  <c r="P96" i="5"/>
  <c r="P53" i="5"/>
  <c r="P41" i="5"/>
  <c r="P27" i="5"/>
  <c r="P81" i="5"/>
  <c r="P67" i="5"/>
  <c r="P51" i="5"/>
  <c r="P39" i="5"/>
  <c r="P25" i="5"/>
  <c r="P105" i="5"/>
  <c r="P91" i="5"/>
  <c r="P31" i="5"/>
  <c r="P87" i="5"/>
  <c r="P71" i="5"/>
  <c r="P57" i="5"/>
  <c r="P45" i="5"/>
  <c r="P29" i="5"/>
  <c r="P17" i="5"/>
  <c r="P103" i="5"/>
  <c r="P79" i="5"/>
  <c r="P65" i="5"/>
  <c r="P49" i="5"/>
  <c r="P37" i="5"/>
  <c r="P23" i="5"/>
  <c r="P21" i="5"/>
  <c r="P123" i="5"/>
  <c r="P109" i="5"/>
  <c r="P75" i="4"/>
  <c r="P16" i="4"/>
  <c r="P34" i="4"/>
  <c r="P37" i="4"/>
  <c r="P42" i="4"/>
  <c r="P60" i="4"/>
  <c r="P85" i="4"/>
  <c r="P62" i="4"/>
  <c r="P82" i="4"/>
  <c r="P107" i="4"/>
  <c r="P105" i="4"/>
  <c r="P95" i="4"/>
  <c r="P94" i="4"/>
  <c r="P57" i="4"/>
  <c r="P74" i="4"/>
  <c r="P35" i="4"/>
  <c r="P65" i="4"/>
  <c r="P21" i="4"/>
  <c r="P98" i="4"/>
  <c r="P78" i="4"/>
  <c r="P86" i="4"/>
  <c r="P47" i="4"/>
  <c r="P106" i="4"/>
  <c r="P45" i="4"/>
  <c r="P88" i="4"/>
  <c r="P33" i="4"/>
  <c r="P32" i="4"/>
  <c r="P67" i="4"/>
  <c r="P52" i="4"/>
  <c r="P93" i="4"/>
  <c r="P41" i="4"/>
  <c r="P77" i="4"/>
  <c r="P71" i="4"/>
  <c r="P63" i="4"/>
  <c r="P55" i="4"/>
  <c r="P30" i="4"/>
  <c r="P80" i="4"/>
  <c r="P66" i="4"/>
  <c r="P24" i="4"/>
  <c r="P97" i="4"/>
  <c r="E27" i="3"/>
  <c r="P66" i="7"/>
  <c r="P76" i="11"/>
  <c r="P14" i="10"/>
  <c r="P15" i="9"/>
  <c r="P33" i="14"/>
  <c r="P21" i="14"/>
  <c r="P16" i="9"/>
  <c r="P25" i="14"/>
  <c r="P85" i="10"/>
  <c r="P16" i="14"/>
  <c r="K57" i="7"/>
  <c r="O57" i="7"/>
  <c r="P57" i="7" s="1"/>
  <c r="O102" i="4"/>
  <c r="P102" i="4" s="1"/>
  <c r="K102" i="4"/>
  <c r="P23" i="4"/>
  <c r="P73" i="10"/>
  <c r="P57" i="10"/>
  <c r="P41" i="10"/>
  <c r="P43" i="4"/>
  <c r="P73" i="4"/>
  <c r="P54" i="4"/>
  <c r="L35" i="14"/>
  <c r="I26" i="2" s="1"/>
  <c r="K29" i="7"/>
  <c r="O29" i="7"/>
  <c r="P29" i="7" s="1"/>
  <c r="O19" i="10"/>
  <c r="M19" i="10"/>
  <c r="O67" i="10"/>
  <c r="M67" i="10"/>
  <c r="M29" i="11"/>
  <c r="O29" i="11"/>
  <c r="O21" i="11"/>
  <c r="P21" i="11" s="1"/>
  <c r="O27" i="13"/>
  <c r="M27" i="13"/>
  <c r="O23" i="14"/>
  <c r="P23" i="14" s="1"/>
  <c r="P93" i="10"/>
  <c r="P79" i="10"/>
  <c r="P65" i="10"/>
  <c r="P49" i="10"/>
  <c r="P19" i="6"/>
  <c r="P23" i="6"/>
  <c r="P37" i="7"/>
  <c r="K64" i="7"/>
  <c r="O64" i="7"/>
  <c r="P64" i="7" s="1"/>
  <c r="K32" i="6"/>
  <c r="O32" i="6"/>
  <c r="P32" i="6" s="1"/>
  <c r="K68" i="7"/>
  <c r="O68" i="7"/>
  <c r="P68" i="7" s="1"/>
  <c r="O48" i="12"/>
  <c r="P48" i="12" s="1"/>
  <c r="P22" i="6"/>
  <c r="K54" i="11"/>
  <c r="O54" i="11"/>
  <c r="P54" i="11" s="1"/>
  <c r="O22" i="4"/>
  <c r="P22" i="4" s="1"/>
  <c r="K22" i="4"/>
  <c r="O91" i="10"/>
  <c r="M91" i="10"/>
  <c r="K86" i="11"/>
  <c r="O86" i="11"/>
  <c r="P86" i="11" s="1"/>
  <c r="K22" i="11"/>
  <c r="O22" i="11"/>
  <c r="P22" i="11" s="1"/>
  <c r="O18" i="10"/>
  <c r="P18" i="10" s="1"/>
  <c r="K18" i="10"/>
  <c r="K46" i="11"/>
  <c r="O46" i="11"/>
  <c r="P46" i="11" s="1"/>
  <c r="K82" i="4"/>
  <c r="O14" i="8"/>
  <c r="P14" i="8" s="1"/>
  <c r="O56" i="12"/>
  <c r="P56" i="12" s="1"/>
  <c r="P25" i="8"/>
  <c r="M17" i="11"/>
  <c r="M31" i="13"/>
  <c r="K31" i="13"/>
  <c r="O103" i="4"/>
  <c r="P103" i="4" s="1"/>
  <c r="K103" i="4"/>
  <c r="P19" i="7"/>
  <c r="K72" i="7"/>
  <c r="O72" i="7"/>
  <c r="P72" i="7" s="1"/>
  <c r="P89" i="10"/>
  <c r="P75" i="10"/>
  <c r="P61" i="10"/>
  <c r="P45" i="10"/>
  <c r="K30" i="11"/>
  <c r="O30" i="11"/>
  <c r="P30" i="11" s="1"/>
  <c r="K50" i="11"/>
  <c r="O50" i="11"/>
  <c r="P50" i="11" s="1"/>
  <c r="K27" i="11"/>
  <c r="O27" i="11"/>
  <c r="P27" i="11" s="1"/>
  <c r="K51" i="7"/>
  <c r="O51" i="7"/>
  <c r="P51" i="7" s="1"/>
  <c r="K23" i="8"/>
  <c r="O23" i="8"/>
  <c r="P23" i="8" s="1"/>
  <c r="P59" i="11"/>
  <c r="P24" i="11"/>
  <c r="P26" i="6"/>
  <c r="M69" i="11"/>
  <c r="O69" i="11"/>
  <c r="N35" i="14"/>
  <c r="G26" i="2" s="1"/>
  <c r="P83" i="10"/>
  <c r="P16" i="11"/>
  <c r="P34" i="9"/>
  <c r="K65" i="7"/>
  <c r="O65" i="7"/>
  <c r="P65" i="7" s="1"/>
  <c r="O30" i="14"/>
  <c r="P30" i="14" s="1"/>
  <c r="K30" i="14"/>
  <c r="O22" i="14"/>
  <c r="P22" i="14" s="1"/>
  <c r="K22" i="14"/>
  <c r="K43" i="7"/>
  <c r="O43" i="7"/>
  <c r="P43" i="7" s="1"/>
  <c r="K82" i="11"/>
  <c r="O82" i="11"/>
  <c r="P82" i="11" s="1"/>
  <c r="P24" i="14"/>
  <c r="N34" i="6"/>
  <c r="G18" i="2" s="1"/>
  <c r="O28" i="12"/>
  <c r="P28" i="12" s="1"/>
  <c r="O88" i="11"/>
  <c r="P88" i="11" s="1"/>
  <c r="K69" i="7"/>
  <c r="O69" i="7"/>
  <c r="P69" i="7" s="1"/>
  <c r="K53" i="7"/>
  <c r="O53" i="7"/>
  <c r="P53" i="7" s="1"/>
  <c r="K27" i="9"/>
  <c r="O27" i="9"/>
  <c r="P27" i="9" s="1"/>
  <c r="K78" i="11"/>
  <c r="O78" i="11"/>
  <c r="P78" i="11" s="1"/>
  <c r="K40" i="12"/>
  <c r="O40" i="12"/>
  <c r="P40" i="12" s="1"/>
  <c r="K26" i="11"/>
  <c r="O26" i="11"/>
  <c r="P26" i="11" s="1"/>
  <c r="P67" i="11"/>
  <c r="O80" i="7"/>
  <c r="O26" i="10"/>
  <c r="P26" i="10" s="1"/>
  <c r="M61" i="11"/>
  <c r="O61" i="11"/>
  <c r="M33" i="11"/>
  <c r="O33" i="11"/>
  <c r="O35" i="10"/>
  <c r="P35" i="10" s="1"/>
  <c r="O51" i="10"/>
  <c r="P51" i="10" s="1"/>
  <c r="O49" i="11"/>
  <c r="M49" i="11"/>
  <c r="M73" i="11"/>
  <c r="O73" i="11"/>
  <c r="P81" i="10"/>
  <c r="N40" i="13"/>
  <c r="G25" i="2" s="1"/>
  <c r="P87" i="11"/>
  <c r="P49" i="12"/>
  <c r="P45" i="12"/>
  <c r="K62" i="11"/>
  <c r="O62" i="11"/>
  <c r="P62" i="11" s="1"/>
  <c r="K34" i="11"/>
  <c r="O34" i="11"/>
  <c r="P34" i="11" s="1"/>
  <c r="K44" i="12"/>
  <c r="O44" i="12"/>
  <c r="P44" i="12" s="1"/>
  <c r="O47" i="10"/>
  <c r="P47" i="10" s="1"/>
  <c r="K42" i="4"/>
  <c r="O77" i="10"/>
  <c r="P77" i="10" s="1"/>
  <c r="K68" i="4"/>
  <c r="K106" i="5"/>
  <c r="K128" i="5"/>
  <c r="K43" i="10"/>
  <c r="O15" i="11"/>
  <c r="K15" i="11"/>
  <c r="K97" i="5"/>
  <c r="K60" i="4"/>
  <c r="M15" i="11"/>
  <c r="L34" i="6"/>
  <c r="I18" i="2" s="1"/>
  <c r="P18" i="9"/>
  <c r="N90" i="11"/>
  <c r="G23" i="2" s="1"/>
  <c r="K29" i="13"/>
  <c r="O29" i="13"/>
  <c r="P29" i="13" s="1"/>
  <c r="K21" i="13"/>
  <c r="O21" i="13"/>
  <c r="P21" i="13" s="1"/>
  <c r="O80" i="10"/>
  <c r="P80" i="10" s="1"/>
  <c r="K80" i="10"/>
  <c r="K74" i="11"/>
  <c r="O74" i="11"/>
  <c r="P74" i="11" s="1"/>
  <c r="K58" i="11"/>
  <c r="O58" i="11"/>
  <c r="P58" i="11" s="1"/>
  <c r="K81" i="10"/>
  <c r="K67" i="10"/>
  <c r="K76" i="4"/>
  <c r="K14" i="14"/>
  <c r="O14" i="14"/>
  <c r="P14" i="14" s="1"/>
  <c r="K76" i="7"/>
  <c r="O76" i="7"/>
  <c r="P76" i="7" s="1"/>
  <c r="K61" i="7"/>
  <c r="O61" i="7"/>
  <c r="P61" i="7" s="1"/>
  <c r="P16" i="10"/>
  <c r="O66" i="11"/>
  <c r="P66" i="11" s="1"/>
  <c r="O36" i="12"/>
  <c r="P36" i="12" s="1"/>
  <c r="P57" i="12"/>
  <c r="P41" i="12"/>
  <c r="P37" i="12"/>
  <c r="P33" i="12"/>
  <c r="P25" i="12"/>
  <c r="P21" i="12"/>
  <c r="P17" i="12"/>
  <c r="O17" i="13"/>
  <c r="P17" i="13" s="1"/>
  <c r="K92" i="5"/>
  <c r="K85" i="4"/>
  <c r="P42" i="7"/>
  <c r="P23" i="9"/>
  <c r="P23" i="10"/>
  <c r="P27" i="10"/>
  <c r="P67" i="7"/>
  <c r="P59" i="10"/>
  <c r="K70" i="11"/>
  <c r="O70" i="11"/>
  <c r="P70" i="11" s="1"/>
  <c r="K18" i="11"/>
  <c r="O18" i="11"/>
  <c r="P18" i="11" s="1"/>
  <c r="K52" i="12"/>
  <c r="O52" i="12"/>
  <c r="P52" i="12" s="1"/>
  <c r="K27" i="10"/>
  <c r="O55" i="10"/>
  <c r="P55" i="10" s="1"/>
  <c r="O83" i="11"/>
  <c r="P83" i="11" s="1"/>
  <c r="K15" i="13"/>
  <c r="K59" i="10"/>
  <c r="P49" i="7"/>
  <c r="P31" i="7"/>
  <c r="P35" i="7"/>
  <c r="P29" i="10"/>
  <c r="P15" i="10"/>
  <c r="K63" i="10"/>
  <c r="O63" i="10"/>
  <c r="P63" i="10" s="1"/>
  <c r="O32" i="12"/>
  <c r="P32" i="12" s="1"/>
  <c r="P24" i="6"/>
  <c r="P30" i="7"/>
  <c r="O16" i="8"/>
  <c r="P16" i="8" s="1"/>
  <c r="K16" i="8"/>
  <c r="K29" i="9"/>
  <c r="O29" i="9"/>
  <c r="P29" i="9" s="1"/>
  <c r="K31" i="10"/>
  <c r="O31" i="10"/>
  <c r="P31" i="10" s="1"/>
  <c r="O63" i="7"/>
  <c r="P63" i="7" s="1"/>
  <c r="K120" i="5"/>
  <c r="K34" i="10"/>
  <c r="P22" i="9"/>
  <c r="P30" i="9"/>
  <c r="P28" i="6"/>
  <c r="O33" i="9"/>
  <c r="P33" i="9" s="1"/>
  <c r="P17" i="9"/>
  <c r="P72" i="10"/>
  <c r="P17" i="10"/>
  <c r="P33" i="10"/>
  <c r="P75" i="11"/>
  <c r="K88" i="4"/>
  <c r="K100" i="4"/>
  <c r="K27" i="6"/>
  <c r="O27" i="6"/>
  <c r="P27" i="6" s="1"/>
  <c r="K71" i="10"/>
  <c r="O71" i="10"/>
  <c r="P71" i="10" s="1"/>
  <c r="K39" i="10"/>
  <c r="O39" i="10"/>
  <c r="P39" i="10" s="1"/>
  <c r="K30" i="5"/>
  <c r="K94" i="4"/>
  <c r="K43" i="4"/>
  <c r="K74" i="4"/>
  <c r="K26" i="4"/>
  <c r="K62" i="4"/>
  <c r="P17" i="8"/>
  <c r="K95" i="5"/>
  <c r="K85" i="5"/>
  <c r="K24" i="4"/>
  <c r="K100" i="5"/>
  <c r="K47" i="4"/>
  <c r="K96" i="4"/>
  <c r="K48" i="4"/>
  <c r="K27" i="13"/>
  <c r="K23" i="13"/>
  <c r="K37" i="11"/>
  <c r="K84" i="11"/>
  <c r="P35" i="11"/>
  <c r="K77" i="7"/>
  <c r="K81" i="11"/>
  <c r="K20" i="14"/>
  <c r="K28" i="14"/>
  <c r="K97" i="4"/>
  <c r="K90" i="4"/>
  <c r="K70" i="4"/>
  <c r="K54" i="4"/>
  <c r="K58" i="4"/>
  <c r="K57" i="4"/>
  <c r="K70" i="5"/>
  <c r="K67" i="5"/>
  <c r="K58" i="5"/>
  <c r="K55" i="5"/>
  <c r="K19" i="13"/>
  <c r="K24" i="5"/>
  <c r="P16" i="6"/>
  <c r="N81" i="7"/>
  <c r="G19" i="2" s="1"/>
  <c r="L81" i="7"/>
  <c r="I19" i="2" s="1"/>
  <c r="N27" i="8"/>
  <c r="G20" i="2" s="1"/>
  <c r="P26" i="9"/>
  <c r="L36" i="9"/>
  <c r="I21" i="2" s="1"/>
  <c r="P17" i="7"/>
  <c r="P21" i="7"/>
  <c r="P59" i="12"/>
  <c r="P53" i="12"/>
  <c r="P29" i="12"/>
  <c r="P95" i="10"/>
  <c r="P69" i="10"/>
  <c r="P53" i="10"/>
  <c r="P37" i="10"/>
  <c r="P21" i="10"/>
  <c r="K50" i="7"/>
  <c r="K77" i="11"/>
  <c r="P56" i="10"/>
  <c r="P84" i="10"/>
  <c r="L96" i="10"/>
  <c r="I22" i="2" s="1"/>
  <c r="P14" i="9"/>
  <c r="P19" i="11"/>
  <c r="P43" i="11"/>
  <c r="N61" i="12"/>
  <c r="G24" i="2" s="1"/>
  <c r="P18" i="6"/>
  <c r="P51" i="11"/>
  <c r="L61" i="12"/>
  <c r="I24" i="2" s="1"/>
  <c r="K91" i="10"/>
  <c r="K69" i="11"/>
  <c r="K29" i="11"/>
  <c r="K66" i="7"/>
  <c r="K36" i="7"/>
  <c r="P39" i="7"/>
  <c r="P43" i="10"/>
  <c r="K62" i="7"/>
  <c r="K61" i="4"/>
  <c r="K104" i="5"/>
  <c r="K101" i="5"/>
  <c r="K91" i="5"/>
  <c r="K42" i="5"/>
  <c r="K39" i="5"/>
  <c r="K105" i="4"/>
  <c r="K62" i="5"/>
  <c r="K59" i="5"/>
  <c r="K80" i="5"/>
  <c r="K77" i="5"/>
  <c r="K50" i="5"/>
  <c r="K47" i="5"/>
  <c r="P31" i="6"/>
  <c r="P92" i="10"/>
  <c r="P78" i="10"/>
  <c r="P64" i="10"/>
  <c r="P48" i="10"/>
  <c r="K31" i="6"/>
  <c r="K32" i="14"/>
  <c r="K66" i="10"/>
  <c r="O66" i="10"/>
  <c r="P66" i="10" s="1"/>
  <c r="K50" i="10"/>
  <c r="O50" i="10"/>
  <c r="P50" i="10" s="1"/>
  <c r="K38" i="11"/>
  <c r="K33" i="11"/>
  <c r="K41" i="11"/>
  <c r="K122" i="5"/>
  <c r="K108" i="5"/>
  <c r="K99" i="5"/>
  <c r="K76" i="5"/>
  <c r="K73" i="5"/>
  <c r="K22" i="5"/>
  <c r="K19" i="5"/>
  <c r="K18" i="4"/>
  <c r="K80" i="4"/>
  <c r="K66" i="4"/>
  <c r="K17" i="4"/>
  <c r="K101" i="4"/>
  <c r="K32" i="4"/>
  <c r="K127" i="5"/>
  <c r="K119" i="5"/>
  <c r="K105" i="5"/>
  <c r="K94" i="5"/>
  <c r="K123" i="5"/>
  <c r="K115" i="5"/>
  <c r="K109" i="5"/>
  <c r="K90" i="5"/>
  <c r="K66" i="5"/>
  <c r="K63" i="5"/>
  <c r="K38" i="5"/>
  <c r="K35" i="5"/>
  <c r="K92" i="4"/>
  <c r="O92" i="4"/>
  <c r="P92" i="4" s="1"/>
  <c r="O56" i="4"/>
  <c r="P56" i="4" s="1"/>
  <c r="K56" i="4"/>
  <c r="K40" i="4"/>
  <c r="K31" i="4"/>
  <c r="K73" i="4"/>
  <c r="K44" i="4"/>
  <c r="K49" i="4"/>
  <c r="K93" i="4"/>
  <c r="P38" i="11"/>
  <c r="O19" i="8"/>
  <c r="O86" i="10"/>
  <c r="P86" i="10" s="1"/>
  <c r="K86" i="10"/>
  <c r="K28" i="7"/>
  <c r="K76" i="11"/>
  <c r="K72" i="11"/>
  <c r="K65" i="11"/>
  <c r="K24" i="14"/>
  <c r="K16" i="14"/>
  <c r="K85" i="11"/>
  <c r="K53" i="11"/>
  <c r="K45" i="11"/>
  <c r="K34" i="5"/>
  <c r="K31" i="5"/>
  <c r="K27" i="4"/>
  <c r="K104" i="4"/>
  <c r="K36" i="4"/>
  <c r="K72" i="5"/>
  <c r="K46" i="5"/>
  <c r="K43" i="5"/>
  <c r="K18" i="5"/>
  <c r="K15" i="5"/>
  <c r="K86" i="4"/>
  <c r="K50" i="4"/>
  <c r="K35" i="4"/>
  <c r="K126" i="5"/>
  <c r="K118" i="5"/>
  <c r="K112" i="5"/>
  <c r="K84" i="5"/>
  <c r="K81" i="5"/>
  <c r="K54" i="5"/>
  <c r="K51" i="5"/>
  <c r="K28" i="5"/>
  <c r="K25" i="5"/>
  <c r="K124" i="5"/>
  <c r="O124" i="5"/>
  <c r="P124" i="5" s="1"/>
  <c r="K116" i="5"/>
  <c r="O116" i="5"/>
  <c r="P116" i="5" s="1"/>
  <c r="K110" i="5"/>
  <c r="O110" i="5"/>
  <c r="K95" i="4"/>
  <c r="N36" i="9"/>
  <c r="G21" i="2" s="1"/>
  <c r="P34" i="7"/>
  <c r="P22" i="10"/>
  <c r="P20" i="11"/>
  <c r="O25" i="13"/>
  <c r="K32" i="9"/>
  <c r="K24" i="9"/>
  <c r="K31" i="14"/>
  <c r="K74" i="10"/>
  <c r="O74" i="10"/>
  <c r="P74" i="10" s="1"/>
  <c r="K58" i="10"/>
  <c r="O58" i="10"/>
  <c r="P58" i="10" s="1"/>
  <c r="K42" i="10"/>
  <c r="O42" i="10"/>
  <c r="K130" i="5"/>
  <c r="K114" i="5"/>
  <c r="O83" i="4"/>
  <c r="P83" i="4" s="1"/>
  <c r="K83" i="4"/>
  <c r="O69" i="4"/>
  <c r="P69" i="4" s="1"/>
  <c r="K69" i="4"/>
  <c r="K84" i="4"/>
  <c r="O84" i="4"/>
  <c r="P84" i="4" s="1"/>
  <c r="K64" i="4"/>
  <c r="O64" i="4"/>
  <c r="P64" i="4" s="1"/>
  <c r="K39" i="4"/>
  <c r="K28" i="4"/>
  <c r="K23" i="4"/>
  <c r="K88" i="5"/>
  <c r="O28" i="9"/>
  <c r="K28" i="9"/>
  <c r="O87" i="10"/>
  <c r="P87" i="10" s="1"/>
  <c r="K87" i="10"/>
  <c r="O46" i="4"/>
  <c r="P46" i="4" s="1"/>
  <c r="K46" i="4"/>
  <c r="O38" i="4"/>
  <c r="K38" i="4"/>
  <c r="K65" i="4"/>
  <c r="K89" i="4"/>
  <c r="P31" i="9"/>
  <c r="K14" i="12"/>
  <c r="P19" i="9"/>
  <c r="K14" i="5"/>
  <c r="N96" i="10"/>
  <c r="G22" i="2" s="1"/>
  <c r="P27" i="7"/>
  <c r="P35" i="9"/>
  <c r="P25" i="10"/>
  <c r="L27" i="8"/>
  <c r="I20" i="2" s="1"/>
  <c r="P44" i="10"/>
  <c r="P52" i="10"/>
  <c r="P60" i="10"/>
  <c r="P68" i="10"/>
  <c r="P82" i="10"/>
  <c r="P88" i="10"/>
  <c r="P94" i="10"/>
  <c r="P45" i="7"/>
  <c r="P16" i="7"/>
  <c r="P79" i="7"/>
  <c r="P28" i="10"/>
  <c r="P52" i="7"/>
  <c r="P36" i="10"/>
  <c r="P20" i="10"/>
  <c r="P32" i="10"/>
  <c r="L90" i="11"/>
  <c r="I23" i="2" s="1"/>
  <c r="P38" i="7"/>
  <c r="P56" i="7"/>
  <c r="P20" i="7"/>
  <c r="P40" i="10"/>
  <c r="P24" i="10"/>
  <c r="P80" i="7"/>
  <c r="P20" i="8"/>
  <c r="P48" i="7"/>
  <c r="P75" i="7"/>
  <c r="P60" i="7"/>
  <c r="P24" i="8"/>
  <c r="P20" i="6"/>
  <c r="P26" i="7"/>
  <c r="P14" i="11"/>
  <c r="M81" i="7"/>
  <c r="F19" i="2" s="1"/>
  <c r="P14" i="7"/>
  <c r="M36" i="9"/>
  <c r="F21" i="2" s="1"/>
  <c r="P14" i="13"/>
  <c r="M34" i="6"/>
  <c r="F18" i="2" s="1"/>
  <c r="M27" i="8"/>
  <c r="F20" i="2" s="1"/>
  <c r="P14" i="12"/>
  <c r="M108" i="4"/>
  <c r="F16" i="2" s="1"/>
  <c r="O69" i="5" l="1"/>
  <c r="M69" i="5"/>
  <c r="M131" i="5" s="1"/>
  <c r="F17" i="2" s="1"/>
  <c r="L69" i="5"/>
  <c r="L131" i="5" s="1"/>
  <c r="I17" i="2" s="1"/>
  <c r="M96" i="10"/>
  <c r="F22" i="2" s="1"/>
  <c r="P67" i="10"/>
  <c r="P19" i="10"/>
  <c r="P68" i="5"/>
  <c r="P66" i="5"/>
  <c r="N131" i="5"/>
  <c r="G17" i="2" s="1"/>
  <c r="P91" i="10"/>
  <c r="K73" i="11"/>
  <c r="K19" i="10"/>
  <c r="K21" i="11"/>
  <c r="P29" i="11"/>
  <c r="K23" i="14"/>
  <c r="P27" i="13"/>
  <c r="O31" i="13"/>
  <c r="P31" i="13" s="1"/>
  <c r="K61" i="11"/>
  <c r="K49" i="11"/>
  <c r="K14" i="8"/>
  <c r="O17" i="11"/>
  <c r="P17" i="11" s="1"/>
  <c r="K17" i="11"/>
  <c r="M61" i="12"/>
  <c r="F24" i="2" s="1"/>
  <c r="M90" i="11"/>
  <c r="F23" i="2" s="1"/>
  <c r="P69" i="11"/>
  <c r="M35" i="14"/>
  <c r="F26" i="2" s="1"/>
  <c r="P73" i="11"/>
  <c r="K51" i="10"/>
  <c r="P33" i="11"/>
  <c r="P49" i="11"/>
  <c r="K35" i="10"/>
  <c r="P61" i="11"/>
  <c r="P15" i="11"/>
  <c r="M40" i="13"/>
  <c r="F25" i="2" s="1"/>
  <c r="O81" i="7"/>
  <c r="H19" i="2" s="1"/>
  <c r="P38" i="4"/>
  <c r="P108" i="4" s="1"/>
  <c r="E16" i="2" s="1"/>
  <c r="O108" i="4"/>
  <c r="H16" i="2" s="1"/>
  <c r="O96" i="10"/>
  <c r="H22" i="2" s="1"/>
  <c r="P42" i="10"/>
  <c r="P28" i="9"/>
  <c r="P25" i="13"/>
  <c r="O27" i="8"/>
  <c r="H20" i="2" s="1"/>
  <c r="P19" i="8"/>
  <c r="P27" i="8" s="1"/>
  <c r="N9" i="8" s="1"/>
  <c r="O34" i="6"/>
  <c r="H18" i="2" s="1"/>
  <c r="P110" i="5"/>
  <c r="P81" i="7"/>
  <c r="E19" i="2" s="1"/>
  <c r="P34" i="6"/>
  <c r="N9" i="6" s="1"/>
  <c r="P69" i="5" l="1"/>
  <c r="O131" i="5"/>
  <c r="H17" i="2" s="1"/>
  <c r="P96" i="10"/>
  <c r="E22" i="2" s="1"/>
  <c r="P131" i="5"/>
  <c r="E17" i="2" s="1"/>
  <c r="N9" i="4"/>
  <c r="O36" i="9"/>
  <c r="H21" i="2" s="1"/>
  <c r="O35" i="14"/>
  <c r="H26" i="2" s="1"/>
  <c r="O90" i="11"/>
  <c r="H23" i="2" s="1"/>
  <c r="P36" i="9"/>
  <c r="N9" i="9" s="1"/>
  <c r="O61" i="12"/>
  <c r="H24" i="2" s="1"/>
  <c r="P61" i="12"/>
  <c r="N9" i="12" s="1"/>
  <c r="P35" i="14"/>
  <c r="N9" i="14" s="1"/>
  <c r="O40" i="13"/>
  <c r="H25" i="2" s="1"/>
  <c r="E18" i="2"/>
  <c r="P90" i="11"/>
  <c r="E23" i="2" s="1"/>
  <c r="P40" i="13"/>
  <c r="N9" i="13" s="1"/>
  <c r="N9" i="7"/>
  <c r="E20" i="2"/>
  <c r="N9" i="10" l="1"/>
  <c r="N9" i="5"/>
  <c r="E21" i="2"/>
  <c r="E24" i="2"/>
  <c r="E26" i="2"/>
  <c r="N9" i="11"/>
  <c r="E25" i="2"/>
  <c r="N39" i="3" l="1"/>
  <c r="L39" i="3"/>
  <c r="N38" i="3"/>
  <c r="L38" i="3"/>
  <c r="N37" i="3"/>
  <c r="L37" i="3"/>
  <c r="N36" i="3"/>
  <c r="L36" i="3"/>
  <c r="N35" i="3"/>
  <c r="L35" i="3"/>
  <c r="N34" i="3"/>
  <c r="L34" i="3"/>
  <c r="N33" i="3"/>
  <c r="L33" i="3"/>
  <c r="N32" i="3"/>
  <c r="L32" i="3"/>
  <c r="N31" i="3"/>
  <c r="L31" i="3"/>
  <c r="N30" i="3"/>
  <c r="L30" i="3"/>
  <c r="N29" i="3"/>
  <c r="L29" i="3"/>
  <c r="N28" i="3"/>
  <c r="L28" i="3"/>
  <c r="N27" i="3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M14" i="3"/>
  <c r="L14" i="3"/>
  <c r="O15" i="3" l="1"/>
  <c r="O16" i="3"/>
  <c r="O17" i="3"/>
  <c r="M18" i="3"/>
  <c r="O18" i="3"/>
  <c r="M19" i="3"/>
  <c r="O19" i="3"/>
  <c r="O20" i="3"/>
  <c r="O21" i="3"/>
  <c r="M22" i="3"/>
  <c r="O22" i="3"/>
  <c r="M23" i="3"/>
  <c r="O23" i="3"/>
  <c r="O24" i="3"/>
  <c r="O25" i="3"/>
  <c r="M26" i="3"/>
  <c r="O26" i="3"/>
  <c r="M27" i="3"/>
  <c r="O27" i="3"/>
  <c r="O28" i="3"/>
  <c r="M29" i="3"/>
  <c r="O29" i="3"/>
  <c r="O30" i="3"/>
  <c r="O31" i="3"/>
  <c r="M32" i="3"/>
  <c r="O32" i="3"/>
  <c r="M33" i="3"/>
  <c r="O33" i="3"/>
  <c r="O34" i="3"/>
  <c r="O35" i="3"/>
  <c r="M36" i="3"/>
  <c r="O36" i="3"/>
  <c r="M37" i="3"/>
  <c r="O37" i="3"/>
  <c r="P37" i="3" s="1"/>
  <c r="O38" i="3"/>
  <c r="O39" i="3"/>
  <c r="O14" i="3"/>
  <c r="P14" i="3" s="1"/>
  <c r="M16" i="3"/>
  <c r="P16" i="3" s="1"/>
  <c r="M20" i="3"/>
  <c r="M24" i="3"/>
  <c r="M28" i="3"/>
  <c r="M30" i="3"/>
  <c r="M34" i="3"/>
  <c r="M38" i="3"/>
  <c r="L40" i="3"/>
  <c r="M15" i="3"/>
  <c r="M17" i="3"/>
  <c r="M21" i="3"/>
  <c r="M25" i="3"/>
  <c r="M31" i="3"/>
  <c r="M35" i="3"/>
  <c r="M39" i="3"/>
  <c r="N40" i="3"/>
  <c r="P24" i="3" l="1"/>
  <c r="P19" i="3"/>
  <c r="P38" i="3"/>
  <c r="P30" i="3"/>
  <c r="P28" i="3"/>
  <c r="P34" i="3"/>
  <c r="P20" i="3"/>
  <c r="P32" i="3"/>
  <c r="P29" i="3"/>
  <c r="P26" i="3"/>
  <c r="P23" i="3"/>
  <c r="P18" i="3"/>
  <c r="K18" i="3"/>
  <c r="K37" i="3"/>
  <c r="P36" i="3"/>
  <c r="P33" i="3"/>
  <c r="P27" i="3"/>
  <c r="P22" i="3"/>
  <c r="K26" i="3"/>
  <c r="P35" i="3"/>
  <c r="K23" i="3"/>
  <c r="P15" i="3"/>
  <c r="K32" i="3"/>
  <c r="K29" i="3"/>
  <c r="P21" i="3"/>
  <c r="K33" i="3"/>
  <c r="K27" i="3"/>
  <c r="P39" i="3"/>
  <c r="P31" i="3"/>
  <c r="P25" i="3"/>
  <c r="P17" i="3"/>
  <c r="G15" i="2"/>
  <c r="K19" i="3"/>
  <c r="K36" i="3"/>
  <c r="K22" i="3"/>
  <c r="K39" i="3"/>
  <c r="K35" i="3"/>
  <c r="K31" i="3"/>
  <c r="K25" i="3"/>
  <c r="K21" i="3"/>
  <c r="K17" i="3"/>
  <c r="K15" i="3"/>
  <c r="K38" i="3"/>
  <c r="K34" i="3"/>
  <c r="K30" i="3"/>
  <c r="K28" i="3"/>
  <c r="K24" i="3"/>
  <c r="K20" i="3"/>
  <c r="K16" i="3"/>
  <c r="K14" i="3"/>
  <c r="I15" i="2"/>
  <c r="M40" i="3"/>
  <c r="P40" i="3" l="1"/>
  <c r="O40" i="3"/>
  <c r="F15" i="2"/>
  <c r="H15" i="2" l="1"/>
  <c r="N9" i="3"/>
  <c r="E15" i="2"/>
  <c r="A15" i="2" l="1"/>
  <c r="D1" i="3" s="1"/>
  <c r="A16" i="2"/>
  <c r="A17" i="2"/>
  <c r="A18" i="2"/>
  <c r="A23" i="2"/>
  <c r="A22" i="2"/>
  <c r="A19" i="2"/>
  <c r="A20" i="2"/>
  <c r="A24" i="2"/>
  <c r="A26" i="2"/>
  <c r="A21" i="2"/>
  <c r="A25" i="2"/>
  <c r="I27" i="2"/>
  <c r="H27" i="2"/>
  <c r="G27" i="2"/>
  <c r="F27" i="2"/>
  <c r="E27" i="2"/>
  <c r="E30" i="2" s="1"/>
  <c r="B15" i="2" l="1"/>
  <c r="B20" i="2"/>
  <c r="D1" i="8"/>
  <c r="B21" i="2"/>
  <c r="D1" i="9"/>
  <c r="B17" i="2"/>
  <c r="D1" i="5"/>
  <c r="D1" i="7"/>
  <c r="B19" i="2"/>
  <c r="B26" i="2"/>
  <c r="D1" i="14"/>
  <c r="B22" i="2"/>
  <c r="D1" i="10"/>
  <c r="D1" i="4"/>
  <c r="B16" i="2"/>
  <c r="B25" i="2"/>
  <c r="D1" i="13"/>
  <c r="B18" i="2"/>
  <c r="D1" i="6"/>
  <c r="B24" i="2"/>
  <c r="D1" i="12"/>
  <c r="B23" i="2"/>
  <c r="D1" i="11"/>
  <c r="D11" i="2"/>
  <c r="E28" i="2"/>
  <c r="E29" i="2" s="1"/>
  <c r="E31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<sst xmlns="http://schemas.openxmlformats.org/spreadsheetml/2006/main" count="1624" uniqueCount="542">
  <si>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</si>
  <si>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</si>
  <si>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</si>
  <si>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</si>
  <si>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</si>
  <si>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</si>
  <si>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>Daudzdzīvokļu dzīvojamās mājas vienkāršotas fasādes atjaunošana</t>
  </si>
  <si>
    <t xml:space="preserve">Objekta nosaukums: </t>
  </si>
  <si>
    <t>Daudzdzīvokļu dzīvojamās mājas, Dakteru ielā 24, Smiltenē vienkāršotas fasādes atjaunošana</t>
  </si>
  <si>
    <t xml:space="preserve">Objekta adrese: </t>
  </si>
  <si>
    <t>Dakteru iela 24, Smiltene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</si>
  <si>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</si>
  <si>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</si>
  <si>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</si>
  <si>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</si>
  <si>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</si>
  <si>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</si>
  <si>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</si>
  <si>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</si>
  <si>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Pārbaudīja</t>
  </si>
  <si>
    <t>Sertifikāta Nr.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</si>
  <si>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</si>
  <si>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</si>
  <si>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</si>
  <si>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</si>
  <si>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</si>
  <si>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</si>
  <si>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</si>
  <si>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</si>
  <si>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</si>
  <si>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</si>
  <si>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</si>
  <si>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</si>
  <si>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</si>
  <si>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</si>
  <si>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</si>
  <si>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</si>
  <si>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</si>
  <si>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</si>
  <si>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</si>
  <si>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</si>
  <si>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</si>
  <si>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 xml:space="preserve">Lokālā tāme Nr. </t>
  </si>
  <si>
    <t>Ieejas mezgla atjaunošanas darbi</t>
  </si>
  <si>
    <t>Tāme sastādīta _____.gada tirgus cenās, pamatojoties uz projekta rasējumiem, Energoauditu un Pasūtītāja vēlmēm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</si>
  <si>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</si>
  <si>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</si>
  <si>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</si>
  <si>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</si>
  <si>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</si>
  <si>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</si>
  <si>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</si>
  <si>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</si>
  <si>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</si>
  <si>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</si>
  <si>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</si>
  <si>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</si>
  <si>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</si>
  <si>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Demontāžas darbi</t>
  </si>
  <si>
    <t>Jumtiņa esošā seguma demontāža ieskaitot pieslēguma elementus</t>
  </si>
  <si>
    <t>m2</t>
  </si>
  <si>
    <t>Jumtiņa atjaunošana no apakšās</t>
  </si>
  <si>
    <t>Ieejas jumtiņa betona virsmas gruntēšana</t>
  </si>
  <si>
    <t>Jumtiņa virsmas no apakšas un malām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</si>
  <si>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</si>
  <si>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</si>
  <si>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</si>
  <si>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</si>
  <si>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</si>
  <si>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zemapmetuma grunts Baumit UniPrimer (Baumit vai ekvivalents)</t>
  </si>
  <si>
    <t>Dekoratīvā apmetumu iestrāde virsmai</t>
  </si>
  <si>
    <t>dekoratīvais apmetums Baumit StarTop 2.0 mm (Baumit vai ekvivalents)</t>
  </si>
  <si>
    <t>palīgmateriāli (līmlentes)</t>
  </si>
  <si>
    <t>Virsmas gruntēšana un krāsošana</t>
  </si>
  <si>
    <t>krāsa tonēta Baumit SilikonColor (Baumit vai ekvivalents) (krāsu saskaņojot ar pasūtītāju)</t>
  </si>
  <si>
    <t>l</t>
  </si>
  <si>
    <t>Jumtiņa seguma atjaunošana</t>
  </si>
  <si>
    <t>Jumta seguma ieklāšana jumtiņam</t>
  </si>
  <si>
    <t>TECHNONICOL Bikroelast EPP 3.0 uzkaus.ruber apakšklājs (TECHNONICOL vai ekvivalents)</t>
  </si>
  <si>
    <t>TECHNONICOL Unifleks EKP 5.0 uzkaus.ruber virsklājs (TECHNONICOL vai ekvivalents)</t>
  </si>
  <si>
    <t>palīgmateriāli (gāze, dībeļi, diegi šuvēm)</t>
  </si>
  <si>
    <t>Jumta skārda lāseņu elementu ierīkošana</t>
  </si>
  <si>
    <t>m</t>
  </si>
  <si>
    <t>skārds ar PURAL pārklājumu (vai ekvivalents)</t>
  </si>
  <si>
    <t>stiprinājuma elementi</t>
  </si>
  <si>
    <t>kompl.</t>
  </si>
  <si>
    <t>Lietus ūdens tekņu izbūve jumtiņam</t>
  </si>
  <si>
    <t>skārds ar PURAL pārklājumu, apaļa šķērsgriezuma tekne un noteka D100 (vai ekvivalents)</t>
  </si>
  <si>
    <t xml:space="preserve">Tiešās izmaksas kopā, t. sk. darba devēja sociālais nodoklis 23.59% </t>
  </si>
  <si>
    <t>Jumta atjaunošana</t>
  </si>
  <si>
    <t>Esošā jumta seguma demontāža, azbesta saturoša materiāla utilizācija</t>
  </si>
  <si>
    <t>Esošā jumta seguma demontāža virs lodžijām</t>
  </si>
  <si>
    <t>Lietus ūdens novadīšanas sistēmas demontāža</t>
  </si>
  <si>
    <t>Bēniņu attīrīšana no gružiem izlīdzinot esošo izdedžu klājumu</t>
  </si>
  <si>
    <t>Televīzijas antenu sakārtošana uz ēkas jumta, pēc nepieicešamības demontējot tos</t>
  </si>
  <si>
    <t>gab</t>
  </si>
  <si>
    <t xml:space="preserve">Materiālu celšana uz un no ēkas </t>
  </si>
  <si>
    <t>obj.</t>
  </si>
  <si>
    <t>Jumta seguma atjaunošana</t>
  </si>
  <si>
    <t>Esošās koka konstrukcijas atjaunošana (remonta apjomu precizēt uz vietas)</t>
  </si>
  <si>
    <t>Antikondensāta plēves ieklāšana</t>
  </si>
  <si>
    <t>antikondensāta plēve JUTACON 130 (vai ekvivalents)</t>
  </si>
  <si>
    <t xml:space="preserve"> stiprinājumi, palīgmateriāli</t>
  </si>
  <si>
    <t>Koka latojuma ierīkošana spāru garenvirzienā antikondensāta plēves stiprināšanai</t>
  </si>
  <si>
    <t>m3</t>
  </si>
  <si>
    <t>impregnēts kokmateriāls 25x50mm (vai ekvivalents)</t>
  </si>
  <si>
    <t>Koka latojuma klāja ierīkošana</t>
  </si>
  <si>
    <t>impregnēts kokmateriāls 32x100mm s=350mm (vai ekvivalents)</t>
  </si>
  <si>
    <t>Metāla jumta seguma ieklāšana izmantojot esošo segumu, ieskaitot pieslēguma elementu ierīkošanu</t>
  </si>
  <si>
    <t>metāla jumta segums Toode valcprofils Classic (vai ekvivalents) ieskaitot pieslēgumus</t>
  </si>
  <si>
    <t>Jumta lūku izbūve</t>
  </si>
  <si>
    <t>stiprinājumi, palīgmateriāli</t>
  </si>
  <si>
    <t>Jumta pārkares karkasa izbūve</t>
  </si>
  <si>
    <t>impregnēts kokmateriāls</t>
  </si>
  <si>
    <t>Jumta pārkares apšušana ar apdares dēlīšiem</t>
  </si>
  <si>
    <t>dekoratīvie apdares dēlīši</t>
  </si>
  <si>
    <t>Jumta pārkares krāsošana</t>
  </si>
  <si>
    <t>grunts krāsa</t>
  </si>
  <si>
    <t>tonēta krāsa</t>
  </si>
  <si>
    <t>Jumta sniega barjera ierīkošana</t>
  </si>
  <si>
    <t>Jumta seguma virs lodžijām atjaunošana</t>
  </si>
  <si>
    <t>Koka konstrukcijas izbūve</t>
  </si>
  <si>
    <t>impregnēts kokmateriāls 100x100mm (vai ekvivalents)</t>
  </si>
  <si>
    <t>Lietus ūdens noteksistēma</t>
  </si>
  <si>
    <t>Lietus ūdens notekreņu izbūve jumtam</t>
  </si>
  <si>
    <t>skārds ar PURAL pārklājumu, apaļa šķērsgriezuma tekne D125</t>
  </si>
  <si>
    <t>Lietus ūdens notekcauruļu izbūve jumtam</t>
  </si>
  <si>
    <t>skārds ar PURAL pārklājumu, apaļa šķērsgriezuma noteka D100</t>
  </si>
  <si>
    <t>Pēdējā stāva pārseguma siltināšana</t>
  </si>
  <si>
    <t>Tvaika plēves ieklāšana zem siltumizolācijas</t>
  </si>
  <si>
    <t>tvaika plēve ELT-PEFOIL 200 (vai ekvivalents)</t>
  </si>
  <si>
    <t>Koka siju karkasa izbūve laipām</t>
  </si>
  <si>
    <t>kokmateriāls 70x70mm, 80x250mm (vai ekvivalents)</t>
  </si>
  <si>
    <t>palīgmateriāli (skrūves u.c.)</t>
  </si>
  <si>
    <t>Bēniņos iebūvēt beramo akmens vati h=300mm</t>
  </si>
  <si>
    <t>beramā vate 300mm biezumā λ=0,041 W/(mK) (vai ekvivalents)</t>
  </si>
  <si>
    <t>Bēniņos izbūvēt dēļu laipas virs siltumizolācijas (d=30mm)</t>
  </si>
  <si>
    <t>kokmateriāls 30x150mm (vai ekvivalents)</t>
  </si>
  <si>
    <t>Kāpņu telpas pārseguma un sienas siltināšana</t>
  </si>
  <si>
    <t>Kāpņu telpas pārseguma siltināšana no kāpņu telpas puses ar fasādes akmens vates plātnēm b=200mm uz līmjavas kārtas, papildus stiprinot ar dībeļiem</t>
  </si>
  <si>
    <t>akmens vate (λd=0,039 W/m*K) 200mm (vai ekvivalents)</t>
  </si>
  <si>
    <t xml:space="preserve"> līmjava Baumit ProContact (Baumit vai ekvivalents)</t>
  </si>
  <si>
    <t>palīgmateriāli (dībeļi u.c.)</t>
  </si>
  <si>
    <t>Kāpņu telpas sienas siltināšana no bēniņu puses ar fasādes akmens vates plātnēm b=100mm uz līmjavas kārtas, papildus stiprinot ar dībeļiem</t>
  </si>
  <si>
    <t>akmens vate (λd=0,036 W/m*K) 100mm (vai ekvivalents)</t>
  </si>
  <si>
    <t>palīgmateriāli</t>
  </si>
  <si>
    <t>Siltinājuma armēšana ar stikla šķiedras sietu</t>
  </si>
  <si>
    <t xml:space="preserve"> līmjava Baumit DuoContact (Baumit vai ekvivalents)</t>
  </si>
  <si>
    <t>Siltināšanas un apdares darbi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</si>
  <si>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</si>
  <si>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</si>
  <si>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</si>
  <si>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</si>
  <si>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Esošās fasādes un ailas virsmas gruntēšana</t>
  </si>
  <si>
    <t>Esošās fasādes un ailas virsmas līdzināšana (pēc nepieciešamības)</t>
  </si>
  <si>
    <t>Tranšejas rakšana grunts maiņai</t>
  </si>
  <si>
    <t>Esošā grunts iekraušana un izvēšana no objekta</t>
  </si>
  <si>
    <t>Būvgružu savākšana, utilizācija</t>
  </si>
  <si>
    <t>Mūrēšanas darbi</t>
  </si>
  <si>
    <t>Ailas sašaurināšana ar gāzbetona blokiem 200mm biezumā</t>
  </si>
  <si>
    <t>gāzbetona bloki b=200mm (vai ekvivalents)</t>
  </si>
  <si>
    <t>gāzbetona līme (vai ekvivalents)</t>
  </si>
  <si>
    <t>armatūra A-III, ø 8mm</t>
  </si>
  <si>
    <t>Cokola siltināšana pa perimetru</t>
  </si>
  <si>
    <t>Vertikālās hidroizolācijas veidošana pamatu un cokola virsmai</t>
  </si>
  <si>
    <t>Pamatu un cokola virsmas siltināšana ar putupolistirolu b=70mm un pamatu izvirzījumu siltināšana ar putupolistirolu b=50mm uz līmjavas kārtas, papildus stiprinot ar dībeļiem</t>
  </si>
  <si>
    <t>ekstrudētais putupolistirols (λd=0,039 W/m*K) 70mm vai ekvivalents</t>
  </si>
  <si>
    <t>ekstrudētais putupolistirols (λd=0,039 W/m*K) 50mm vai ekvivalents</t>
  </si>
  <si>
    <t>līmjava Baumit BituFix 2K (Baumit vai ekvivalents)</t>
  </si>
  <si>
    <t>Siltinājuma armēšana ar stikla šķiedras sietu divās kārtās</t>
  </si>
  <si>
    <t>Dekoratīvā apmetumu iestrāde cokola virsmai</t>
  </si>
  <si>
    <t>Cokola virsmas gruntēšana un krāsošana</t>
  </si>
  <si>
    <t>Fasādes siltināšana</t>
  </si>
  <si>
    <t>Iebūvēt metāla cokola profillīsti</t>
  </si>
  <si>
    <t>alumīnija cokola profils (vai ekvivalents)</t>
  </si>
  <si>
    <t>palīgmateriāli, stiprinājumi</t>
  </si>
  <si>
    <t>Ārsienas virsmas siltināšana ar fasādes siltumizolācijas plātnēm b=150mm un fasādes izvirzījumu siltināšana ar fasādes siltumizolācijas plātnēm b=50mm uz līmjavas kārtas, papildus stiprinot ar dībeļiem</t>
  </si>
  <si>
    <t>akmens vate (λd=0,036 W/m*K) 150mm (vai ekvivalents)</t>
  </si>
  <si>
    <t>akmens vate (λd=0,036 W/m*K) 50mm (vai ekvivalents)</t>
  </si>
  <si>
    <t>Siltinājuma armēšana ar stikla šķiedras sietu fasādes virsmai papildus 3m augstumā</t>
  </si>
  <si>
    <t>Siltinājuma armēšana ar stikla šķiedras sietu fasādes virsmai</t>
  </si>
  <si>
    <t>EJOT profils 815 cokols plus vai ekvivalents</t>
  </si>
  <si>
    <t>Dekoratīvā apmetumu iestrāde fasādes virsmai</t>
  </si>
  <si>
    <t>Fasādes virsmas gruntēšana un krāsošana</t>
  </si>
  <si>
    <t>Logu un durvju aiļu malu apdare</t>
  </si>
  <si>
    <t>Logu un durvju aiļu malu siltināšana ar 30 mm akmens vati uz līmjavas kārtas</t>
  </si>
  <si>
    <t>akmens vate (λd=0,036 W/m*K) 30mm (vai ekvivalents)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</si>
  <si>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</si>
  <si>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</si>
  <si>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</si>
  <si>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</si>
  <si>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Nesiltinātās virsmas apdares darbi</t>
  </si>
  <si>
    <t>Lodžijas paneļu virsmas armēšana ar stikla šķiedras sietu</t>
  </si>
  <si>
    <t>grunts zem apmetuma Baumit UniPrimer (Baumit vai ekvivalents)</t>
  </si>
  <si>
    <t>Dekoratīvā apmetumu iestrāde nesiltinātajai virsmai</t>
  </si>
  <si>
    <t>Nesiltinātās virsmas gruntēšana un krāsošana</t>
  </si>
  <si>
    <t>krāsa tonēta Baumit Baumit SilikatColor (Baumit vai ekvivalents) (krāsu saskaņojot ar pasūtītāju)</t>
  </si>
  <si>
    <t>Pamatu apmalītes atjaunošana</t>
  </si>
  <si>
    <t>Aizbērt tranšeju ap pamatiem ar pievesto grunti, to blīvējot</t>
  </si>
  <si>
    <t>drenējoša smilts (filtrācijas koef.&gt;1m/dnn) (vai ekvivalents)</t>
  </si>
  <si>
    <t>Aizbērt tranšeju ap pamatiem ar dolomīta šķembām 100mm + 50mm biezumā, tās blīvējot</t>
  </si>
  <si>
    <t>dolomīta šķembas (fr.40-70mm) 100mm (vai ekvivalents)</t>
  </si>
  <si>
    <t>dolomīta šķembas (fr.0-40mm) 50 mm (vai ekvivalents)</t>
  </si>
  <si>
    <t>Aizbērt tranšeju ap pamatiem ar smilts ar cementa piedevu 50 mm biezumā, tās blīvējot</t>
  </si>
  <si>
    <t>smilts ar cementa piedevu 50 mm (vai ekvivalents)</t>
  </si>
  <si>
    <t>Bruģakmens apamales izveide</t>
  </si>
  <si>
    <t>bruģakmens 60 mm (vai ekvivalents)</t>
  </si>
  <si>
    <t>Betona ietvju apmales izbūve uz betons sagataves kārtas</t>
  </si>
  <si>
    <t>betons C8/10 (vai ekvivalents)</t>
  </si>
  <si>
    <t>betona ietvju apmale BR.100.20.8 (vai ekvivalents)</t>
  </si>
  <si>
    <t>Dažādi darbi</t>
  </si>
  <si>
    <t>Esošo lodžijas tērauda margu atjaunošanas darbi, tērauda elementu labošana, pārmētināšana</t>
  </si>
  <si>
    <t>Esošo lodžijas tērauda margu attīrīšana, gruntēšana un krāsošana (kopējais biezums min 120 mkm)</t>
  </si>
  <si>
    <t>Koka latojuma izbūve lodžijas margam</t>
  </si>
  <si>
    <t>impregnēts kokmateriāls 25x100mm (vai ekvivalents)</t>
  </si>
  <si>
    <t>Lodžijas margas apšušana ar profilētā skārda loksnēm</t>
  </si>
  <si>
    <t>profilētā skārda loksnes T20 (vai ekevivalents)</t>
  </si>
  <si>
    <t>Iesegt ar dekoratīvo skārdu margas augšējo daļu</t>
  </si>
  <si>
    <t>Iesegt ar dekoratīvo skārdu ārējās palodzes</t>
  </si>
  <si>
    <t>Pagraba ventilācijas restes R-1 (1200x250mm) montāža</t>
  </si>
  <si>
    <t>Pagraba ventilācijas restes R-2 (570x500mm) montāža</t>
  </si>
  <si>
    <t>Fasādes sakārtošana (karoga kāta turētāja, mājas Nr. u.c.)</t>
  </si>
  <si>
    <t>Pagraba griestu siltināšana darbi</t>
  </si>
  <si>
    <t>Esošo šķunīšu augšējo daļu nozagēšana un nostiprināšana pagrabā</t>
  </si>
  <si>
    <t>Pagraba siltināšana</t>
  </si>
  <si>
    <t>Esošās pagraba griestu virsmas gruntēšana</t>
  </si>
  <si>
    <t>Siltumizolācijas pielīmēšana pagraba pārsegumam</t>
  </si>
  <si>
    <t>putupolistirols (λd=0,036 W/m*K) 120mm (vai ekvivalents)</t>
  </si>
  <si>
    <t>Siltumizolācijas pielīmēšana pagraba sienām</t>
  </si>
  <si>
    <t>akmens vate (λd=0,038 W/m*K) 50mm (vai ekvivalents)</t>
  </si>
  <si>
    <t>Logu un durvju maiņa</t>
  </si>
  <si>
    <t>Esošo koka logu demontāža dzīvokļos</t>
  </si>
  <si>
    <t>Esošo koka lodžijas logu bloku demontāža dzīvokļos</t>
  </si>
  <si>
    <t>Esošo pagraba logu/restes/aizšuvumu demontāža</t>
  </si>
  <si>
    <t>Esošo bēniņu restes/aizšuvumu demontāža</t>
  </si>
  <si>
    <t>Skārda palodžu elementu demontāža visai ēkai</t>
  </si>
  <si>
    <t>Esošā ieejas ārdurvju demontāža</t>
  </si>
  <si>
    <t>Esošā vējtvera durvju demontāža</t>
  </si>
  <si>
    <t>Esošā pagraba durvju demontāža</t>
  </si>
  <si>
    <t>Esošā bēniņu durvju demontāža</t>
  </si>
  <si>
    <t>Logu montāža dzīvokļos</t>
  </si>
  <si>
    <t>PVC logu bloku montāža dzīvokļos veramus, atgāžamus, saglabājot rūtojumu</t>
  </si>
  <si>
    <t>gb</t>
  </si>
  <si>
    <t>PVC konstrukcijas logi L-1 (2700x1300) U=1,30 W/(m²K) (vai ekvivalents)</t>
  </si>
  <si>
    <t>PVC konstrukcijas logi L-2 (2280x1300) U=1,30 W/(m²K) (vai ekvivalents)</t>
  </si>
  <si>
    <t>PVC konstrukcijas logi L-4 (2500x1300) U=1,30 W/(m²K) (vai ekvivalents)</t>
  </si>
  <si>
    <t>stiprinājuma elementi (silikons, skrūves)</t>
  </si>
  <si>
    <t>blīvējuma materiāli (celtniecības putas)</t>
  </si>
  <si>
    <t>PVC lodžijas logu bloku montāža dzīvokļos veramus, atgāžamus, saglabājot rūtojumu</t>
  </si>
  <si>
    <t>PVC konstrukcijas logi L-3.1, L-3.2 (20800x1810, 980x2490) U=1,30 W/(m²K) (vai ekvivalents)</t>
  </si>
  <si>
    <t>MDF palodžu uzstādīšana izolējot palodžu pamatni</t>
  </si>
  <si>
    <t>MDF palodze balta matēta (vai ekvivalents)</t>
  </si>
  <si>
    <t>stiprinājuma elemetni (silikons, skrūves, celtniecības putas, putuplasts)</t>
  </si>
  <si>
    <t>Sānu virsmu apdare ap logiem no iekšpuses</t>
  </si>
  <si>
    <t>ģipšk/loksne GKB 12.5 mm (vai ekvivalents)</t>
  </si>
  <si>
    <t>līme ģipškartonam KNAUF Perflix (vai ekvivalents)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</si>
  <si>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</si>
  <si>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</si>
  <si>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</si>
  <si>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</si>
  <si>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Durvju atjaunošana</t>
  </si>
  <si>
    <t>Jauno tērauda konstrukcijas ārdurvju montāža ieejas mezglā ieskaitot atduras ierīkošanu</t>
  </si>
  <si>
    <t>tērauda konstrukcijas durvis D1 (1150x2050) U≤1.8 W/(m2*K) (vai ekvivalents)</t>
  </si>
  <si>
    <t>durvju aizvērējs G-U OTS 430 (vai ekvivalents)</t>
  </si>
  <si>
    <t>blīvējuma materiāli</t>
  </si>
  <si>
    <t>furnitūra un rokturis</t>
  </si>
  <si>
    <t>Ārdurvju aprīkošana ar mehānisko koda atslēgu</t>
  </si>
  <si>
    <t>koda atslēga Zone 2000 (vai ekvivalents)</t>
  </si>
  <si>
    <t>Jauno tērauda konstrukcijas durvju montāža vējtverī ieskaitot atduras ierīkošanu</t>
  </si>
  <si>
    <t>tērauda konstrukcijas durvis D2 (900x2050) U≤1.8 W/(m2*K) (vai ekvivalents)</t>
  </si>
  <si>
    <t>Jauno metāla konstrukcijas durvju montāža pagrabā ieskaitot atduras ierīkošanu</t>
  </si>
  <si>
    <t>metāla konstrukcijas durvis D3 (900x2050) ar iestrādātu ventilācijas resti (vai ekvivalents)</t>
  </si>
  <si>
    <t>Jauno tērauda konstrukcijas durvju montāža bēninos ieskaitot atduras ierīkošanu</t>
  </si>
  <si>
    <t>tērauda konstrukcijas durvis D4 (900x1900) U≤1.8 W/(m2*K) EI30 (vai ekvivalents)</t>
  </si>
  <si>
    <t>Jauno logu un durvju tvaika barjera lentas montāža no iekšpuses un pretvēja barjera lentas montāža no ārpuses</t>
  </si>
  <si>
    <t>tvaika barjera lentas</t>
  </si>
  <si>
    <t>pretvēja barjera lentas</t>
  </si>
  <si>
    <t>Esošo logu pretvēja barjera lentas montāža no ārpuses</t>
  </si>
  <si>
    <t>Iekšējie apdares darbi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</si>
  <si>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</si>
  <si>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</si>
  <si>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</si>
  <si>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</si>
  <si>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rupjā tepe ROTBAND ģipša apmetums KNAUF vai ekvivalents</t>
  </si>
  <si>
    <t>smalkā špaktele Weber LR+ vai ekvivalents</t>
  </si>
  <si>
    <t>Kāpņu margu atjaunošana un PVC lentera uzstādīšana</t>
  </si>
  <si>
    <t>Telekomunikāciju un citu vadu nosegšana</t>
  </si>
  <si>
    <t>Esošo betona grīdu, kāpņu un laidu remonts</t>
  </si>
  <si>
    <t>Ventilācijas atjaunošanas darbi</t>
  </si>
  <si>
    <t>Esošās ventilācijas šahtas demontāža līdz jumta segumam</t>
  </si>
  <si>
    <t>Ēkas ārsienās dabīgās ventilācijas atveres D=100 mm izveidošana ar dimanta urbšanas instrumentu</t>
  </si>
  <si>
    <t>Ventilācijas izbūve</t>
  </si>
  <si>
    <t>Dabīgās ventilācijas kanālu tīrīšana, un vilkmes pārbaude ar atzinumu</t>
  </si>
  <si>
    <t>Ventilācijas izvadu pārmūrēšana</t>
  </si>
  <si>
    <t>pilnie apdares ķieģeļi paredzēti skursteņa virsjumta daļas mūrēšanai (vai ekvivalents)</t>
  </si>
  <si>
    <t>mūrjava (vai ekvivalents)</t>
  </si>
  <si>
    <t>Ventilācijas izvadu apmēšana</t>
  </si>
  <si>
    <t>siets Rabica Zn 0.65mm 10x10mm (vai ekvivalents)</t>
  </si>
  <si>
    <t>apmetuma java (vai ekvivalents)</t>
  </si>
  <si>
    <t>Ventilācijas izvadu virsmu armēšana, virsmas gludināšana</t>
  </si>
  <si>
    <t>Ventilācijas izvadu virsmas gruntēšana un krāsošana</t>
  </si>
  <si>
    <t>Dabīgās ventilācijas izvadu aprīkošana ar skārda jumtiņiem papildus piestiprināt insekta sietu</t>
  </si>
  <si>
    <t>Gaisa pieplūdes sienas komplekta Systemair VTK-100 Airvent uzstādīšana dzīvokļos (vai ekvivalents)</t>
  </si>
  <si>
    <t>Ūdensapgādes un kanalizācijas sistēmas atjaunošana</t>
  </si>
  <si>
    <t>Esošās ūdensapgādes sistēmas demontāža</t>
  </si>
  <si>
    <t>Esošās kanalizācijas sistēmas demontāža</t>
  </si>
  <si>
    <t>Apkures sistēma</t>
  </si>
  <si>
    <t>PPR caurule ar šķiedru ūdenim 20x2.8 (vai ekvivalents)</t>
  </si>
  <si>
    <t>PPR caurule ar šķiedru ūdenim, 25x3.5 (vai ekvivalents)</t>
  </si>
  <si>
    <t>PPR caurule ar šķiedru ūdenim 32x3.6 (vai ekvivalents)</t>
  </si>
  <si>
    <t>PPR caurule ar šķiedru ūdenim 40x4.5 (vai ekvivalents)</t>
  </si>
  <si>
    <t>PPR caurule ar šķiedru ūdenim 50x5.6 (vai ekvivalents)</t>
  </si>
  <si>
    <t>PPR caurule ar šķiedru ūdenim 63x7.1 (vai ekvivalents)</t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</si>
  <si>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20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</si>
  <si>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25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</si>
  <si>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32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</si>
  <si>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40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</si>
  <si>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63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</si>
  <si>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20/20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</si>
  <si>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25/25/20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</si>
  <si>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25/25/32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</si>
  <si>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32/32/20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</si>
  <si>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32/32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</si>
  <si>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32/32/40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</si>
  <si>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40/40/20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</si>
  <si>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40/40/32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</si>
  <si>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40/40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</si>
  <si>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</si>
  <si>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</si>
  <si>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63/63/32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</si>
  <si>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63/63/50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</si>
  <si>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63/63 (vai ekvivalents)</t>
    </r>
  </si>
  <si>
    <r>
      <t>PPR X-gabals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20/20/32/32 (vai ekvivalents)</t>
    </r>
  </si>
  <si>
    <r>
      <t>PPR X-gabals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25/25/20/20 (vai ekvivalents)</t>
    </r>
  </si>
  <si>
    <r>
      <t>PPR X-gabals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40/40/32/32 (vai ekvivalents)</t>
    </r>
  </si>
  <si>
    <r>
      <t>PPR X-gabals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50/50/32/32 (vai ekvivalents)</t>
    </r>
  </si>
  <si>
    <r>
      <t>PPR X-gabals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63/63/32/32 (vai ekvivalents)</t>
    </r>
  </si>
  <si>
    <t>PPR pāreja 25/20 (vai ekvivalents)</t>
  </si>
  <si>
    <t>PPR pāreja 32/25 (vai ekvivalents)</t>
  </si>
  <si>
    <t>PPR pāreja 40/32 (vai ekvivalents)</t>
  </si>
  <si>
    <t>PPR pāreja 50/40 (vai ekvivalents)</t>
  </si>
  <si>
    <t>PPR pāreja 63/32 (vai ekvivalents)</t>
  </si>
  <si>
    <t>PPR pāreja 63/40 (vai ekvivalents)</t>
  </si>
  <si>
    <t>Lodveida ventilis t=110˚; P=8 bar DN15 (vai ekvivalents)</t>
  </si>
  <si>
    <t>Lodveida ventilis t=110˚; P=8 bar, DN25 (vai ekvivalents)</t>
  </si>
  <si>
    <t>Lodveida ventilis t=110˚; P=8 bar, DN32 (vai ekvivalents)</t>
  </si>
  <si>
    <t>Lodveida ventilis t=110˚; P=8 bar, Dn40 (vai ekvivalents)</t>
  </si>
  <si>
    <t>Lodveida ventilis t=110˚; P=8 bar, Dn50 (vai ekvivalents)</t>
  </si>
  <si>
    <t>Balansēšanas vārsts t=110˚; P=8 bar, DN15 (vai ekvivalents)</t>
  </si>
  <si>
    <t>Izlaides vārsts t=110˚; P=8 bar ar gala vāku, Dn15 (vai ekvivalents)</t>
  </si>
  <si>
    <t>Kaučuka izolācija - pretkondensāta aukstam ūdenim 22/9mm K-FLEX EC (vai ekvivalents)</t>
  </si>
  <si>
    <t>Kaučuka izolācija- pretkondensāta aukstam ūdenim 28/9mm K-FLEX EC (vai ekvivalents)</t>
  </si>
  <si>
    <t>Kaučuka izolācija- pretkondensāta aukstam ūdenim 35/9mm K-FLEX EC (vai ekvivalents)</t>
  </si>
  <si>
    <t>Kaučuka izolācija- pretkondensāta aukstam ūdenim 42/9mm K-FLEX EC (vai ekvivalents)</t>
  </si>
  <si>
    <t>Kaučuka izolācija- pretkondensāta aukstam ūdenim 54/9mm K-FLEX EC (vai ekvivalents)</t>
  </si>
  <si>
    <t>Kaučuka izolācija- pretkondensāta aukstam ūdenim 64/9mm K-FLEX EC (vai ekvivalents)</t>
  </si>
  <si>
    <t>Akmensvates izolācijas čaula, ar alum. atstarojošo slāni; b=50mm PAROC Hvac Section AluCoat T 22/50 (λD=0,040 W/m*K) (vai ekvivalents)</t>
  </si>
  <si>
    <t>Akmensvates izolācijas čaula, ar alum. atstarojošo slāni; b=50mm PAROC Hvac Section AluCoat T 28/50 (λD=0,040 W/m*K) (vai ekvivalents)</t>
  </si>
  <si>
    <t>Akmensvates izolācijas čaula, ar alum. atstarojošo slāni; b=50mm PAROC Hvac Section AluCoat T 35/50 (λD=0,040 W/m*K) (vai ekvivalents)</t>
  </si>
  <si>
    <t>Akmensvates izolācijas čaula, ar alum. atstarojošo slāni; b=50mm PAROC Hvac Section AluCoat T 42/50 (λD=0,040 W/m*K) (vai ekvivalents)</t>
  </si>
  <si>
    <t>Akmensvates izolācijas čaula, ar alum. atstarojošo slāni; b=50mm PAROC Hvac Section AluCoat T 54/50 (λD=0,040 W/m*K) (vai ekvivalents)</t>
  </si>
  <si>
    <t>Pievienojums ūdens ievadam</t>
  </si>
  <si>
    <t>Armatūra un veidgabali</t>
  </si>
  <si>
    <t>Dvieļu žāvētājs U veida D25-700-500 (vai ekvivalents)</t>
  </si>
  <si>
    <t>Kanalizācijas sistēma</t>
  </si>
  <si>
    <t>Kanalizācijas caurule PP DN110 (vai ekvivalents)</t>
  </si>
  <si>
    <t>Līkums PP DN110 (vai ekvivalents)</t>
  </si>
  <si>
    <t>Trejgabals PP 110/110 (vai ekvivalents)</t>
  </si>
  <si>
    <t>Revīzija PP DN110 (vai ekvivalents)</t>
  </si>
  <si>
    <t>Alucoat izolācija trokšņa slāpēšanai PAROC 110/30 (vai ekvivalents)</t>
  </si>
  <si>
    <t>Ugunsdrošības manžete DN110 (vai ekvivalents)</t>
  </si>
  <si>
    <t>Kanalizācijas izvads, pievienojums akai, rakšanas darbi izvadu nomaiņai, aizsargčaulas (akai, šķērsojot ēkas pamatni)</t>
  </si>
  <si>
    <t>izvadi</t>
  </si>
  <si>
    <t>Seguma atjaunošanas darbi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</si>
  <si>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</si>
  <si>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</si>
  <si>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</si>
  <si>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</si>
  <si>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</si>
  <si>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</si>
  <si>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</si>
  <si>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</si>
  <si>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vietas</t>
  </si>
  <si>
    <t>Ūdens sistēmas palaišanu un ieregulēšanu</t>
  </si>
  <si>
    <t>obj</t>
  </si>
  <si>
    <t>Armatūras marķēšana</t>
  </si>
  <si>
    <t>Izpildshēmas sagatavošana</t>
  </si>
  <si>
    <t>Apkures sistēmas atjaunošana</t>
  </si>
  <si>
    <t>Esošās apkures sistēmas demontāža</t>
  </si>
  <si>
    <t>Tērauda presējama  caurule - apkurei,  Dn15 (vai ekvivalents)</t>
  </si>
  <si>
    <t>Tērauda presējama  caurule - apkurei,  Dn18 (vai ekvivalents)</t>
  </si>
  <si>
    <t>Tērauda presējama  caurule - apkurei,  Dn22 (vai ekvivalents)</t>
  </si>
  <si>
    <t>Tērauda presējama  caurule - apkurei,  Dn28 (vai ekvivalents)</t>
  </si>
  <si>
    <t>Tērauda presējama  caurule - apkurei,  Dn35 (vai ekvivalents)</t>
  </si>
  <si>
    <t>Tērauda presējama  caurule - apkurei,  Dn42 (vai ekvivalents)</t>
  </si>
  <si>
    <t>Tērauda presējama  caurule - apkurei,  Dn54 (vai ekvivalents)</t>
  </si>
  <si>
    <t>Tērauda presējama  caurule - apkurei,  Dn76 (vai ekvivalents)</t>
  </si>
  <si>
    <t>Tērauda presējams līkums 90, Dn15 (vai ekvivalents)</t>
  </si>
  <si>
    <t>Tērauda presējams līkums 90, Dn18 (vai ekvivalents)</t>
  </si>
  <si>
    <t>Tērauda presējams līkums 90, Dn22 (vai ekvivalents)</t>
  </si>
  <si>
    <t>Tērauda presējams līkums 90, Dn35 (vai ekvivalents)</t>
  </si>
  <si>
    <t>Tērauda presējams T-gabals, Dn 15/15 (vai ekvivalents)</t>
  </si>
  <si>
    <t>Tērauda presējams T-gabals, Dn 15/15/18 (vai ekvivalents)</t>
  </si>
  <si>
    <t>Tērauda presējams T-gabals, Dn 18/18/15 (vai ekvivalents)</t>
  </si>
  <si>
    <t>Tērauda presējams T-gabals, Dn 18/18 (vai ekvivalents)</t>
  </si>
  <si>
    <t>Tērauda presējams T-gabals, Dn 22/22 (vai ekvivalents)</t>
  </si>
  <si>
    <t>Tērauda presējams T-gabals, Dn 28/28/18 (vai ekvivalents)</t>
  </si>
  <si>
    <t>Tērauda presējams T-gabals, Dn 28/28/22 (vai ekvivalents)</t>
  </si>
  <si>
    <t>Tērauda presējams T-gabals, Dn 35/35/18 (vai ekvivalents)</t>
  </si>
  <si>
    <t>Tērauda presējams T-gabals, Dn 35/35/22 (vai ekvivalents)</t>
  </si>
  <si>
    <t>Tērauda presējams T-gabals, Dn 35/35/42 (vai ekvivalents)</t>
  </si>
  <si>
    <t>Tērauda presējams T-gabals, Dn 42/42/18 (vai ekvivalents)</t>
  </si>
  <si>
    <t>Tērauda presējams T-gabals, Dn 42/42/54 (vai ekvivalents)</t>
  </si>
  <si>
    <t>Tērauda presējams T-gabals, Dn 54/54/76 (vai ekvivalents)</t>
  </si>
  <si>
    <t>Tērauda presējams T-gabals, Dn 76/76/15 (vai ekvivalents)</t>
  </si>
  <si>
    <t>Tērauda presējams X-gabals, Dn 15/15/22/22 (vai ekvivalents)</t>
  </si>
  <si>
    <t>Tērauda presējama pāreja Dn 18/15 (vai ekvivalents)</t>
  </si>
  <si>
    <t>Tērauda presējama pāreja Dn 22/15 (vai ekvivalents)</t>
  </si>
  <si>
    <t>Tērauda presējama pāreja Dn 28/18 (vai ekvivalents)</t>
  </si>
  <si>
    <t>Tērauda presējama pāreja Dn 28/22 (vai ekvivalents)</t>
  </si>
  <si>
    <t>Tērauda presējama pāreja Dn 35/28 (vai ekvivalents)</t>
  </si>
  <si>
    <t>Tērauda presējama pāreja Dn 42/35 (vai ekvivalents)</t>
  </si>
  <si>
    <t>Tērauda presējama pāreja Dn 54/42 (vai ekvivalents)</t>
  </si>
  <si>
    <t>Tērauda radiators Purmo Compact C11-400-1000 ar sienas stiprinājumiem un atgaisotāju (vai ekvivalents)</t>
  </si>
  <si>
    <t>Tērauda radiators Purmo Compact C11-400-1200 ar sienas stiprinājumiem un atgaisotāju (vai ekvivalents)</t>
  </si>
  <si>
    <t>Tērauda radiators Purmo Compact C11-400-800 ar sienas stiprinājumiem un atgaisotāju (vai ekvivalents)</t>
  </si>
  <si>
    <t>Tērauda radiators Purmo Compact C22-400-1000 ar sienas stiprinājumiem un atgaisotāju (vai ekvivalents)</t>
  </si>
  <si>
    <t>Tērauda radiators Purmo Compact C22-400-1100 ar sienas stiprinājumiem un atgaisotāju (vai ekvivalents)</t>
  </si>
  <si>
    <t>Tērauda radiators Purmo Compact C22-400-1200 ar sienas stiprinājumiem un atgaisotāju (vai ekvivalents)</t>
  </si>
  <si>
    <t>Tērauda radiators Purmo Compact C22-400-1400 ar sienas stiprinājumiem un atgaisotāju (vai ekvivalents)</t>
  </si>
  <si>
    <t>Tērauda radiators Purmo Compact C33-900-1100 ar sienas stiprinājumiem un atgaisotāju (vai ekvivalents)</t>
  </si>
  <si>
    <t>Radiatora termogalva ar vārstu komplekts Danfos DN15 (vai ekvivalents)</t>
  </si>
  <si>
    <t>Radiatora noslēgvārsts ar priekšiestādījumu Danfos DN15 (vai ekvivalents)</t>
  </si>
  <si>
    <t>Lodveida ventilis t=110˚; P=8 bar, Dn20 (vai ekvivalents)</t>
  </si>
  <si>
    <t>Balansēšanas vārsts, Dn40 (vai ekvivalents)</t>
  </si>
  <si>
    <t>Balansēšanas vārsts, Dn50 (vai ekvivalents)</t>
  </si>
  <si>
    <t>Izlaides ventilis ar gala vāku Dn15 (vai ekvivalents)</t>
  </si>
  <si>
    <t>Automātiskais atgaisotājs ar noslēgventili t=110˚; P=8 bar DN15 (vai ekvivalents)</t>
  </si>
  <si>
    <t>Akmensvates izolācijas čaula, ar alum. atstarojošo slāni; b=50mm PAROC Hvac Section AluCoat T 18/50 (λD=0,040 W/m*K) (vai ekvivalents)</t>
  </si>
  <si>
    <t>Akmensvates izolācijas čaula, ar alum. atstarojošo slāni; b=50mm PAROC Hvac Section AluCoat T 28/50 (λD=0,040W/m*K) (vai ekvivalents)</t>
  </si>
  <si>
    <t>Akmensvates izolācijas čaula, ar alum. atstarojošo slāni; b=50mm PAROC Hvac Section AluCoat T 54/50 (λD=0,040W/m*K) (vai ekvivalents)</t>
  </si>
  <si>
    <t>Akmensvates izolācijas čaula, ar alum. atstarojošo slāni; b=50mm PAROC Hvac Section AluCoat T 76/50 (λD=0,040 W/m*K) (vai ekvivalents)</t>
  </si>
  <si>
    <t>Siltumizolācijas fasondaļas</t>
  </si>
  <si>
    <t>PVC pārklājums</t>
  </si>
  <si>
    <t>Montāžas komplekts ieskaitot ugunsdrošības risinājumus</t>
  </si>
  <si>
    <t>Apkures  hidrauliskās pārbaude un sistēmas skalošana , balansēšana un balansēšanas aktu sastādīšana</t>
  </si>
  <si>
    <t>Radiatoru vietas uzlabošana (špaktelēšana, krāsošana) (apjomu precizēt būvniecības laikā)</t>
  </si>
  <si>
    <t>Noslēgarmatūras marķēšana</t>
  </si>
  <si>
    <t>Pārsegumu šķērsošanas vietas uzlabošana (špaktelēšana, krāsošana) (apjomu precizēt būvniecības laikā)</t>
  </si>
  <si>
    <t>gab.</t>
  </si>
  <si>
    <t>Apkures sistēmas palaišanu un ieregulēšanu</t>
  </si>
  <si>
    <t>objekts</t>
  </si>
  <si>
    <t>Pieslēgums SM</t>
  </si>
  <si>
    <t>Siltummezgls</t>
  </si>
  <si>
    <t>Esošā siltummezgla demontāža</t>
  </si>
  <si>
    <t>Apkure</t>
  </si>
  <si>
    <t>Tērauda caurule,  Dn20 (vai ekvivalents)</t>
  </si>
  <si>
    <t>Tērauda caurule,  Dn25 (vai ekvivalents)</t>
  </si>
  <si>
    <t>Tērauda caurule,  Dn32 (vai ekvivalents)</t>
  </si>
  <si>
    <t>Tērauda caurule,  Dn50 (vai ekvivalents)</t>
  </si>
  <si>
    <t>Noslēgventilis, Dn20 (vai ekvivalents)</t>
  </si>
  <si>
    <t>Noslēgventilis, Dn25 (vai ekvivalents)</t>
  </si>
  <si>
    <t>Noslēgventilis, Dn32 (vai ekvivalents)</t>
  </si>
  <si>
    <t>Noslēgventilis, Dn40 (vai ekvivalents)</t>
  </si>
  <si>
    <t>Noslēgventilis, Dn50 (vai ekvivalents)</t>
  </si>
  <si>
    <t>Vienvirziena vārsts, DN20 (vai ekvivalents)</t>
  </si>
  <si>
    <t>Vienvirziena vārsts, DN32 (vai ekvivalents)</t>
  </si>
  <si>
    <t>Vienvirziena vārsts, DN40 (vai ekvivalents)</t>
  </si>
  <si>
    <t>Filtrs, Dn20 (vai ekvivalents)</t>
  </si>
  <si>
    <t>Filtrs, Dn32 (vai ekvivalents)</t>
  </si>
  <si>
    <t>Filtrs, Dn40 (vai ekvivalents)</t>
  </si>
  <si>
    <t>Filtrs, Dn50 (vai ekvivalents)</t>
  </si>
  <si>
    <t>Siltuma skaitītājs kopējais Danfos SonoMeter30 DN25 6.0m3/h (vai ekvivalents)</t>
  </si>
  <si>
    <t>Siltuma skaitītājs apkures Danfos SonoMeter30 DN20 1.5m3/h (vai ekvivalents)</t>
  </si>
  <si>
    <t>Regulējošais vārsts ar piedziņu Danfos VM2 DN20, kvs-4.0 + AMV10 (vai ekvivalents)</t>
  </si>
  <si>
    <t>Siltummainis apkurei Danfos 87kW - 004H7529 - XB12L-1-30 G 5/4 (25mm) (vai ekvivalents)</t>
  </si>
  <si>
    <t>Regulējošais vārsts ar piedziņu karstam ūdenim Danfos VM2 DN25, kvs-8.0 + AMV30 (vai ekvivalents)</t>
  </si>
  <si>
    <t>Siltummainis karstam ūdenim Danfos 175kW - 004H7291 - XB37M-1-50 G 1 (20mm) CU (vai ekvivalents)</t>
  </si>
  <si>
    <t>Spiediena regulators Danfos AVP DN20 kvs-6.3 (vai ekvivalents)</t>
  </si>
  <si>
    <t>Kontrolieri ECL Danfos ECL296 + A230 (vai ekvivalents)</t>
  </si>
  <si>
    <t>Apkures cirkulācijas sūknis Wilo-Stratos MAXO 25/0,5-6 PN 10 (vai ekvivalents)</t>
  </si>
  <si>
    <t>Izplešanās tvertne 150 l (vai ekvivalents)</t>
  </si>
  <si>
    <t>Drošības vārsts, DN20 (vai ekvivalents)</t>
  </si>
  <si>
    <t>Drošības vārsts, DN15 (vai ekvivalents)</t>
  </si>
  <si>
    <t>Ūdens skaitītājs Qnom= 1.5 m3/h (vai ekvivalents)</t>
  </si>
  <si>
    <r>
      <t>Termometrs PN16, 120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>C (vai ekvivalents)</t>
    </r>
  </si>
  <si>
    <r>
      <t>Manometrs PN16, 120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>C (vai ekvivalents)</t>
    </r>
  </si>
  <si>
    <r>
      <t>Manometra ventilis PN16, 120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>C (vai ekvivalents)</t>
    </r>
  </si>
  <si>
    <t>Izlaides vārsts t=110˚; P=8 bar (vai ekvivalents)</t>
  </si>
  <si>
    <t>Automātiskais atgaisotājs (vai ekvivalents)</t>
  </si>
  <si>
    <t>Akmensvates izolācijas čaula, ar alum. atstarojošo slāni; b=50mm PAROC Hvac Section AluCoat T 48/50 (λD=0,040 W/m*K) (vai ekvivalents)</t>
  </si>
  <si>
    <t>Akmensvates izolācijas čaula, ar alum. atstarojošo slāni; b=50mm PAROC Hvac Section AluCoat T 64/50 (λD=0,040W/m*K) (vai ekvivalents)</t>
  </si>
  <si>
    <t>Iegremdējami sensori ESMU (vai ekvivalents)</t>
  </si>
  <si>
    <t>Izolācijas montāžas materiāli</t>
  </si>
  <si>
    <t>Montāžas palīgmateriāli</t>
  </si>
  <si>
    <t>Sistēmas marķēšanas materiāli</t>
  </si>
  <si>
    <t>Zibensaizsardzības izbūve</t>
  </si>
  <si>
    <t>Kontaktmērījumu klemme (vai ekvivalents)</t>
  </si>
  <si>
    <t>Multiklemme (vai ekvivalents)</t>
  </si>
  <si>
    <t>Zibens novedējstieple AlMgSi d=8mm (vai ekvivalents)</t>
  </si>
  <si>
    <t>Stieples striprinājumi (vai ekvivalents)</t>
  </si>
  <si>
    <t>Stieples pievienojuma klemme pie notekas (vai ekvivalents)</t>
  </si>
  <si>
    <t>Stieples pievienojuma klemme pie sniega drošibas brajerām (vai ekvivalents)</t>
  </si>
  <si>
    <t>Stieples striprinājumi hamuta pie notekas (vai ekvivalents)</t>
  </si>
  <si>
    <t>Zibens uztvērējs L=2,5m d=16/10mm (vai ekvivalents)</t>
  </si>
  <si>
    <t>Zibens uztvērēja stiprinājumi (vai ekvivalents)</t>
  </si>
  <si>
    <t>kpl</t>
  </si>
  <si>
    <t>Karsti cinkota tērauda lenta 30x3,5mm (vai ekvivalents)</t>
  </si>
  <si>
    <t>Zemējuma elektrods L=3m (vai ekvivalents)</t>
  </si>
  <si>
    <t>Zemējuma elektroda spice (vai ekvivalents)</t>
  </si>
  <si>
    <t>Zemējuma elektroda montāžas galva (1 gab. Uz 40) (vai ekvivalents)</t>
  </si>
  <si>
    <t>Krustaklemme (zemējuma elektroda pievienošanai) (vai ekvivalents)</t>
  </si>
  <si>
    <t>Izolēts cinkota tērauda apaļdzelzs d=10mm (vai ekvivalents)</t>
  </si>
  <si>
    <t>Savienojuma klemme plakandzelzs – plakandzelzs (vai ekvivalents)</t>
  </si>
  <si>
    <t>Savienojuma klemme plakandzelzs – apaļdzelzs (vai ekvivalents)</t>
  </si>
  <si>
    <t>Antikorozijas lenta 50mm 10m rullis (vai ekvivalents)</t>
  </si>
  <si>
    <t>Aizsargcaurule gofrēta 450N ∅=50mm (vai ekvivalents)</t>
  </si>
  <si>
    <t>Tranšejas rakšana / aizbēršana</t>
  </si>
  <si>
    <t>Palīgmateriāli</t>
  </si>
  <si>
    <t>Trases digitālā nosprušana / uzmērīšana</t>
  </si>
  <si>
    <t>Elektrisko mērijumu veikšana</t>
  </si>
  <si>
    <t>Izpilddokumentācijas sagatavošana</t>
  </si>
  <si>
    <t>Apgaismojuma atjaunošana</t>
  </si>
  <si>
    <t>Pagrabstāva, stāvvadu un komunalā apgaismojuma elektroinstalācijas demontāža</t>
  </si>
  <si>
    <t>Kopietošanas telpas apgaismojums</t>
  </si>
  <si>
    <t>Ievadsadalne (IS) V/A; IP65 (metāla korpuss) (vai ekvivalents)</t>
  </si>
  <si>
    <t>Kabelis NYY 5x10 mm2 (vai ekvivalents)</t>
  </si>
  <si>
    <t>Kabelis NYM-J 3x1.5 mm2 (vai ekvivalents)</t>
  </si>
  <si>
    <t>Gofrētā caurule ∅25 (vai ekvivalents)</t>
  </si>
  <si>
    <t>Caurule ∅32 (vai ekvivalents)</t>
  </si>
  <si>
    <t>Slēdzis 10A; 230V; IP44; V/A (vai ekvivalents)</t>
  </si>
  <si>
    <t>LED gaismeklis OPPLE LED WALL MOUNTED Rq300 20W IP44 ar iebūvēto kustības sensoru (vai ekvivalents)</t>
  </si>
  <si>
    <t>LED gaismeklis LEDVANCE SURFACE CIRCULAR 400 24W 3000K IP44 WT (vai ekvivalents)</t>
  </si>
  <si>
    <t>KANLUX SEVIA LED 26-SE 9W 600lm IP54 220V (vai ekvivalents)</t>
  </si>
  <si>
    <t>Savienojuma kārba (apjomu precizēt būvniecības laikā)</t>
  </si>
  <si>
    <t>Zemējuma vads H07V-K 35mm² (vai ekvivalents)</t>
  </si>
  <si>
    <t>Ugunsdrošā putas</t>
  </si>
  <si>
    <t>Ugunsdrošā blīvējoša mastika</t>
  </si>
  <si>
    <t>Ugunsdrošā krāsa</t>
  </si>
  <si>
    <t xml:space="preserve">Kalšanas un štrobēšanas darbi </t>
  </si>
  <si>
    <t>Mērijumu veikšana</t>
  </si>
  <si>
    <t>Izpilddokumentācija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</si>
</sst>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.0%"/>
    <numFmt numFmtId="167" formatCode="_(* #,##0.00_);_(* \(#,##0.00\);_(* &quot;-&quot;??_);_(@_)"/>
  </numFmts>
  <fonts count="13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i/>
      <sz val="8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167" fontId="6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/>
    <xf numFmtId="9" fontId="1" fillId="0" borderId="0" xfId="0" applyNumberFormat="1" applyFo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/>
    <xf numFmtId="1" fontId="1" fillId="0" borderId="0" xfId="0" applyNumberFormat="1" applyFont="1"/>
    <xf numFmtId="0" fontId="1" fillId="0" borderId="6" xfId="0" applyFont="1" applyBorder="1" applyAlignment="1">
      <alignment wrapText="1"/>
    </xf>
    <xf numFmtId="0" fontId="7" fillId="0" borderId="0" xfId="0" applyFont="1"/>
    <xf numFmtId="164" fontId="8" fillId="0" borderId="29" xfId="0" applyNumberFormat="1" applyFont="1" applyBorder="1" applyAlignment="1">
      <alignment vertical="top" wrapText="1"/>
    </xf>
    <xf numFmtId="165" fontId="9" fillId="0" borderId="5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wrapText="1"/>
    </xf>
    <xf numFmtId="164" fontId="9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10" fillId="0" borderId="4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2" fillId="0" borderId="0" xfId="0" applyFont="1"/>
    <xf numFmtId="164" fontId="1" fillId="2" borderId="29" xfId="0" applyNumberFormat="1" applyFont="1" applyFill="1" applyBorder="1" applyAlignment="1">
      <alignment horizontal="center" vertical="center" wrapText="1"/>
    </xf>
    <xf numFmtId="164" fontId="10" fillId="2" borderId="4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" fillId="0" borderId="6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wrapText="1"/>
    </xf>
    <xf numFmtId="164" fontId="1" fillId="3" borderId="29" xfId="0" applyNumberFormat="1" applyFont="1" applyFill="1" applyBorder="1" applyAlignment="1">
      <alignment horizontal="right" vertical="top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0" fillId="3" borderId="46" xfId="0" applyNumberFormat="1" applyFont="1" applyFill="1" applyBorder="1" applyAlignment="1">
      <alignment horizontal="center" vertical="center" wrapText="1"/>
    </xf>
    <xf numFmtId="164" fontId="8" fillId="3" borderId="29" xfId="0" applyNumberFormat="1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0" fillId="0" borderId="46" xfId="0" applyNumberFormat="1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vertical="top" wrapText="1"/>
    </xf>
  </cellXfs>
  <cellStyles count="5">
    <cellStyle name="Comma 2" xfId="4" xr:uid="{00000000-0005-0000-0000-000000000000}"/>
    <cellStyle name="Normal" xfId="0" builtinId="0"/>
    <cellStyle name="Normal 2" xfId="2" xr:uid="{00000000-0005-0000-0000-000002000000}"/>
    <cellStyle name="Обычный_33. OZOLNIEKU NOVADA DOME_OZO SKOLA_TELPU, GAITENU, KAPNU TELPU REMONTS_TAME_VADIMS_2011_02_25_melnraksts" xfId="1" xr:uid="{00000000-0005-0000-0000-000003000000}"/>
    <cellStyle name="Обычный_saulkrasti_tame" xfId="3" xr:uid="{00000000-0005-0000-0000-000004000000}"/>
  </cellStyles>
  <dxfs count="204"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40"/>
  <sheetViews>
    <sheetView topLeftCell="A16" workbookViewId="0">
      <selection activeCell="A40" sqref="A40"/>
    </sheetView>
  </sheetViews>
  <sheetFormatPr defaultColWidth="8.85546875"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09" t="s">
        <v>1</v>
      </c>
      <c r="C4" s="109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10" t="s">
        <v>3</v>
      </c>
      <c r="C8" s="110"/>
    </row>
    <row r="11" spans="1:3" x14ac:dyDescent="0.2">
      <c r="B11" s="2" t="s">
        <v>4</v>
      </c>
    </row>
    <row r="12" spans="1:3" x14ac:dyDescent="0.2">
      <c r="B12" s="83"/>
    </row>
    <row r="13" spans="1:3" ht="22.5" x14ac:dyDescent="0.2">
      <c r="A13" s="4" t="s">
        <v>5</v>
      </c>
      <c r="B13" s="76" t="s">
        <v>6</v>
      </c>
      <c r="C13" s="76"/>
    </row>
    <row r="14" spans="1:3" ht="22.5" x14ac:dyDescent="0.2">
      <c r="A14" s="4" t="s">
        <v>7</v>
      </c>
      <c r="B14" s="76" t="s">
        <v>8</v>
      </c>
      <c r="C14" s="76"/>
    </row>
    <row r="15" spans="1:3" x14ac:dyDescent="0.2">
      <c r="A15" s="4" t="s">
        <v>9</v>
      </c>
      <c r="B15" s="75" t="s">
        <v>10</v>
      </c>
      <c r="C15" s="75"/>
    </row>
    <row r="16" spans="1:3" x14ac:dyDescent="0.2">
      <c r="A16" s="4" t="s">
        <v>11</v>
      </c>
      <c r="B16" s="74"/>
      <c r="C16" s="74"/>
    </row>
    <row r="17" spans="1:3" ht="12" thickBot="1" x14ac:dyDescent="0.25"/>
    <row r="18" spans="1:3" x14ac:dyDescent="0.2">
      <c r="A18" s="5" t="s">
        <v>12</v>
      </c>
      <c r="B18" s="6" t="s">
        <v>13</v>
      </c>
      <c r="C18" s="7" t="s">
        <v>14</v>
      </c>
    </row>
    <row r="19" spans="1:3" ht="22.5" x14ac:dyDescent="0.2">
      <c r="A19" s="78">
        <v>1</v>
      </c>
      <c r="B19" s="91" t="s">
        <v>8</v>
      </c>
      <c r="C19" s="9">
        <f>'Kops a'!E31</f>
        <v>0</v>
      </c>
    </row>
    <row r="20" spans="1:3" x14ac:dyDescent="0.2">
      <c r="A20" s="79"/>
      <c r="B20" s="80"/>
      <c r="C20" s="10"/>
    </row>
    <row r="21" spans="1:3" x14ac:dyDescent="0.2">
      <c r="A21" s="81"/>
      <c r="B21" s="8"/>
      <c r="C21" s="10"/>
    </row>
    <row r="22" spans="1:3" x14ac:dyDescent="0.2">
      <c r="A22" s="81"/>
      <c r="B22" s="8"/>
      <c r="C22" s="10"/>
    </row>
    <row r="23" spans="1:3" x14ac:dyDescent="0.2">
      <c r="A23" s="81"/>
      <c r="B23" s="8"/>
      <c r="C23" s="10"/>
    </row>
    <row r="24" spans="1:3" x14ac:dyDescent="0.2">
      <c r="A24" s="81"/>
      <c r="B24" s="8"/>
      <c r="C24" s="10"/>
    </row>
    <row r="25" spans="1:3" ht="12" thickBot="1" x14ac:dyDescent="0.25">
      <c r="A25" s="82"/>
      <c r="B25" s="51"/>
      <c r="C25" s="52"/>
    </row>
    <row r="26" spans="1:3" ht="12" thickBot="1" x14ac:dyDescent="0.25">
      <c r="A26" s="11"/>
      <c r="B26" s="12" t="s">
        <v>15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11" t="s">
        <v>16</v>
      </c>
      <c r="B28" s="112"/>
      <c r="C28" s="16">
        <f>ROUND(C26*21%,2)</f>
        <v>0</v>
      </c>
    </row>
    <row r="31" spans="1:3" ht="11.1" customHeight="1" x14ac:dyDescent="0.2">
      <c r="A31" s="1" t="s">
        <v>17</v>
      </c>
      <c r="B31" s="107"/>
      <c r="C31" s="107"/>
    </row>
    <row r="32" spans="1:3" ht="11.1" customHeight="1" x14ac:dyDescent="0.2">
      <c r="B32" s="108" t="s">
        <v>18</v>
      </c>
      <c r="C32" s="108"/>
    </row>
    <row r="33" spans="1:3" ht="11.1" customHeight="1" x14ac:dyDescent="0.2">
      <c r="B33" s="99"/>
      <c r="C33" s="99"/>
    </row>
    <row r="34" spans="1:3" ht="11.1" customHeight="1" x14ac:dyDescent="0.2">
      <c r="B34" s="99"/>
      <c r="C34" s="99"/>
    </row>
    <row r="35" spans="1:3" ht="11.1" customHeight="1" x14ac:dyDescent="0.2">
      <c r="A35" s="1" t="s">
        <v>19</v>
      </c>
      <c r="B35" s="107"/>
      <c r="C35" s="107"/>
    </row>
    <row r="36" spans="1:3" ht="11.1" customHeight="1" x14ac:dyDescent="0.2">
      <c r="B36" s="108" t="s">
        <v>18</v>
      </c>
      <c r="C36" s="108"/>
    </row>
    <row r="38" spans="1:3" x14ac:dyDescent="0.2">
      <c r="A38" s="1" t="s">
        <v>20</v>
      </c>
      <c r="B38" s="17"/>
      <c r="C38" s="17"/>
    </row>
    <row r="39" spans="1:3" ht="11.1" customHeight="1" x14ac:dyDescent="0.2">
      <c r="A39" s="17"/>
      <c r="B39" s="17"/>
      <c r="C39" s="17"/>
    </row>
    <row r="40" spans="1:3" ht="11.1" customHeight="1" x14ac:dyDescent="0.2"/>
  </sheetData>
  <mergeCells count="7">
    <mergeCell ref="B35:C35"/>
    <mergeCell ref="B36:C36"/>
    <mergeCell ref="B32:C32"/>
    <mergeCell ref="B4:C4"/>
    <mergeCell ref="B8:C8"/>
    <mergeCell ref="A28:B28"/>
    <mergeCell ref="B31:C31"/>
  </mergeCells>
  <conditionalFormatting sqref="C19 C26 C28">
    <cfRule type="cellIs" dxfId="203" priority="10" operator="equal">
      <formula>0</formula>
    </cfRule>
  </conditionalFormatting>
  <conditionalFormatting sqref="B13:B16">
    <cfRule type="cellIs" dxfId="202" priority="9" operator="equal">
      <formula>0</formula>
    </cfRule>
  </conditionalFormatting>
  <conditionalFormatting sqref="B19">
    <cfRule type="cellIs" dxfId="201" priority="8" operator="equal">
      <formula>0</formula>
    </cfRule>
  </conditionalFormatting>
  <conditionalFormatting sqref="B38">
    <cfRule type="cellIs" dxfId="200" priority="6" operator="equal">
      <formula>0</formula>
    </cfRule>
  </conditionalFormatting>
  <conditionalFormatting sqref="B31:C31">
    <cfRule type="cellIs" dxfId="199" priority="4" operator="equal">
      <formula>0</formula>
    </cfRule>
  </conditionalFormatting>
  <conditionalFormatting sqref="A19">
    <cfRule type="cellIs" dxfId="198" priority="3" operator="equal">
      <formula>0</formula>
    </cfRule>
  </conditionalFormatting>
  <conditionalFormatting sqref="A40">
    <cfRule type="containsText" dxfId="197" priority="2" operator="containsText" text="Tāme sastādīta 20__. gada __. _________">
      <formula>NOT(ISERROR(SEARCH("Tāme sastādīta 20__. gada __. _________",A40)))</formula>
    </cfRule>
  </conditionalFormatting>
  <conditionalFormatting sqref="B35:C35">
    <cfRule type="cellIs" dxfId="196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</sheetPr>
  <dimension ref="A1:V108"/>
  <sheetViews>
    <sheetView workbookViewId="0">
      <selection activeCell="E19" sqref="E19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42</v>
      </c>
      <c r="D1" s="50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303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1" t="s">
        <v>22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61"/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7</v>
      </c>
      <c r="D6" s="173" t="str">
        <f>'Kops a'!D7</f>
        <v>Daudzdzīvokļu dzīvojamās mājas, Dakteru ielā 24, Smiltenē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9</v>
      </c>
      <c r="D7" s="173" t="str">
        <f>'Kops a'!D8</f>
        <v>Dakteru iela 24, Smiltene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25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44</v>
      </c>
      <c r="B9" s="159"/>
      <c r="C9" s="159"/>
      <c r="D9" s="159"/>
      <c r="E9" s="159"/>
      <c r="F9" s="159"/>
      <c r="G9" s="159"/>
      <c r="H9" s="159"/>
      <c r="I9" s="159"/>
      <c r="J9" s="165" t="s">
        <v>45</v>
      </c>
      <c r="K9" s="165"/>
      <c r="L9" s="165"/>
      <c r="M9" s="165"/>
      <c r="N9" s="172">
        <f>P96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>
        <f>A102</f>
        <v>0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9" t="s">
        <v>28</v>
      </c>
      <c r="B12" s="167" t="s">
        <v>46</v>
      </c>
      <c r="C12" s="163" t="s">
        <v>47</v>
      </c>
      <c r="D12" s="170" t="s">
        <v>48</v>
      </c>
      <c r="E12" s="154" t="s">
        <v>49</v>
      </c>
      <c r="F12" s="162" t="s">
        <v>50</v>
      </c>
      <c r="G12" s="163"/>
      <c r="H12" s="163"/>
      <c r="I12" s="163"/>
      <c r="J12" s="163"/>
      <c r="K12" s="164"/>
      <c r="L12" s="162" t="s">
        <v>51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5"/>
      <c r="F13" s="36" t="s">
        <v>52</v>
      </c>
      <c r="G13" s="37" t="s">
        <v>53</v>
      </c>
      <c r="H13" s="37" t="s">
        <v>54</v>
      </c>
      <c r="I13" s="37" t="s">
        <v>55</v>
      </c>
      <c r="J13" s="37" t="s">
        <v>56</v>
      </c>
      <c r="K13" s="61" t="s">
        <v>57</v>
      </c>
      <c r="L13" s="36" t="s">
        <v>52</v>
      </c>
      <c r="M13" s="37" t="s">
        <v>54</v>
      </c>
      <c r="N13" s="37" t="s">
        <v>55</v>
      </c>
      <c r="O13" s="37" t="s">
        <v>56</v>
      </c>
      <c r="P13" s="61" t="s">
        <v>57</v>
      </c>
    </row>
    <row r="14" spans="1:16" x14ac:dyDescent="0.2">
      <c r="A14" s="94">
        <v>1</v>
      </c>
      <c r="B14" s="95"/>
      <c r="C14" s="96" t="s">
        <v>58</v>
      </c>
      <c r="D14" s="25"/>
      <c r="E14" s="98"/>
      <c r="F14" s="65"/>
      <c r="G14" s="62"/>
      <c r="H14" s="47"/>
      <c r="I14" s="62"/>
      <c r="J14" s="62"/>
      <c r="K14" s="63">
        <f>SUM(H14:J14)</f>
        <v>0</v>
      </c>
      <c r="L14" s="65">
        <f>ROUND(E14*F14,2)</f>
        <v>0</v>
      </c>
      <c r="M14" s="62">
        <f>ROUND(H14*E14,2)</f>
        <v>0</v>
      </c>
      <c r="N14" s="62">
        <f>ROUND(I14*E14,2)</f>
        <v>0</v>
      </c>
      <c r="O14" s="62">
        <f>ROUND(J14*E14,2)</f>
        <v>0</v>
      </c>
      <c r="P14" s="63">
        <f>SUM(M14:O14)</f>
        <v>0</v>
      </c>
    </row>
    <row r="15" spans="1:16" x14ac:dyDescent="0.2">
      <c r="A15" s="38">
        <v>1</v>
      </c>
      <c r="B15" s="39"/>
      <c r="C15" s="93" t="s">
        <v>304</v>
      </c>
      <c r="D15" s="25" t="s">
        <v>68</v>
      </c>
      <c r="E15" s="98">
        <v>1</v>
      </c>
      <c r="F15" s="65"/>
      <c r="G15" s="62"/>
      <c r="H15" s="47">
        <f t="shared" ref="H15:H16" si="0">ROUND(F15*G15,2)</f>
        <v>0</v>
      </c>
      <c r="I15" s="62"/>
      <c r="J15" s="62"/>
      <c r="K15" s="48">
        <f t="shared" ref="K15:K74" si="1">SUM(H15:J15)</f>
        <v>0</v>
      </c>
      <c r="L15" s="49">
        <f t="shared" ref="L15:L74" si="2">ROUND(E15*F15,2)</f>
        <v>0</v>
      </c>
      <c r="M15" s="47">
        <f t="shared" ref="M15:M74" si="3">ROUND(H15*E15,2)</f>
        <v>0</v>
      </c>
      <c r="N15" s="47">
        <f t="shared" ref="N15:N74" si="4">ROUND(I15*E15,2)</f>
        <v>0</v>
      </c>
      <c r="O15" s="47">
        <f t="shared" ref="O15:O74" si="5">ROUND(J15*E15,2)</f>
        <v>0</v>
      </c>
      <c r="P15" s="48">
        <f t="shared" ref="P15:P74" si="6">SUM(M15:O15)</f>
        <v>0</v>
      </c>
    </row>
    <row r="16" spans="1:16" x14ac:dyDescent="0.2">
      <c r="A16" s="38">
        <v>2</v>
      </c>
      <c r="B16" s="39"/>
      <c r="C16" s="93" t="s">
        <v>305</v>
      </c>
      <c r="D16" s="25" t="s">
        <v>68</v>
      </c>
      <c r="E16" s="98">
        <v>1</v>
      </c>
      <c r="F16" s="65"/>
      <c r="G16" s="62"/>
      <c r="H16" s="47">
        <f t="shared" si="0"/>
        <v>0</v>
      </c>
      <c r="I16" s="62"/>
      <c r="J16" s="62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94">
        <v>2</v>
      </c>
      <c r="B17" s="95"/>
      <c r="C17" s="96" t="s">
        <v>306</v>
      </c>
      <c r="D17" s="25"/>
      <c r="E17" s="98"/>
      <c r="F17" s="65"/>
      <c r="G17" s="62"/>
      <c r="H17" s="47"/>
      <c r="I17" s="62"/>
      <c r="J17" s="62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2.5" x14ac:dyDescent="0.2">
      <c r="A18" s="38">
        <v>1</v>
      </c>
      <c r="B18" s="39"/>
      <c r="C18" s="93" t="s">
        <v>307</v>
      </c>
      <c r="D18" s="25" t="s">
        <v>82</v>
      </c>
      <c r="E18" s="98">
        <v>410</v>
      </c>
      <c r="F18" s="65"/>
      <c r="G18" s="62"/>
      <c r="H18" s="47">
        <f t="shared" ref="H18:H59" si="7">ROUND(F18*G18,2)</f>
        <v>0</v>
      </c>
      <c r="I18" s="62"/>
      <c r="J18" s="62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2</v>
      </c>
      <c r="B19" s="39"/>
      <c r="C19" s="93" t="s">
        <v>308</v>
      </c>
      <c r="D19" s="25" t="s">
        <v>82</v>
      </c>
      <c r="E19" s="98">
        <v>161</v>
      </c>
      <c r="F19" s="65"/>
      <c r="G19" s="62"/>
      <c r="H19" s="47">
        <f t="shared" si="7"/>
        <v>0</v>
      </c>
      <c r="I19" s="62"/>
      <c r="J19" s="62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2.5" x14ac:dyDescent="0.2">
      <c r="A20" s="38">
        <v>3</v>
      </c>
      <c r="B20" s="39"/>
      <c r="C20" s="93" t="s">
        <v>309</v>
      </c>
      <c r="D20" s="25" t="s">
        <v>82</v>
      </c>
      <c r="E20" s="98">
        <v>130</v>
      </c>
      <c r="F20" s="65"/>
      <c r="G20" s="62"/>
      <c r="H20" s="47">
        <f t="shared" si="7"/>
        <v>0</v>
      </c>
      <c r="I20" s="62"/>
      <c r="J20" s="62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2.5" x14ac:dyDescent="0.2">
      <c r="A21" s="38">
        <v>4</v>
      </c>
      <c r="B21" s="39"/>
      <c r="C21" s="93" t="s">
        <v>310</v>
      </c>
      <c r="D21" s="25" t="s">
        <v>82</v>
      </c>
      <c r="E21" s="98">
        <v>65</v>
      </c>
      <c r="F21" s="65"/>
      <c r="G21" s="62"/>
      <c r="H21" s="47">
        <f t="shared" si="7"/>
        <v>0</v>
      </c>
      <c r="I21" s="62"/>
      <c r="J21" s="62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2.5" x14ac:dyDescent="0.2">
      <c r="A22" s="38">
        <v>5</v>
      </c>
      <c r="B22" s="39"/>
      <c r="C22" s="93" t="s">
        <v>311</v>
      </c>
      <c r="D22" s="25" t="s">
        <v>82</v>
      </c>
      <c r="E22" s="98">
        <v>10</v>
      </c>
      <c r="F22" s="65"/>
      <c r="G22" s="62"/>
      <c r="H22" s="47">
        <f t="shared" si="7"/>
        <v>0</v>
      </c>
      <c r="I22" s="62"/>
      <c r="J22" s="62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2.5" x14ac:dyDescent="0.2">
      <c r="A23" s="38">
        <v>6</v>
      </c>
      <c r="B23" s="39"/>
      <c r="C23" s="93" t="s">
        <v>312</v>
      </c>
      <c r="D23" s="25" t="s">
        <v>82</v>
      </c>
      <c r="E23" s="98">
        <v>40</v>
      </c>
      <c r="F23" s="65"/>
      <c r="G23" s="62"/>
      <c r="H23" s="47">
        <f t="shared" si="7"/>
        <v>0</v>
      </c>
      <c r="I23" s="62"/>
      <c r="J23" s="62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2.5" x14ac:dyDescent="0.2">
      <c r="A24" s="38">
        <v>7</v>
      </c>
      <c r="B24" s="39"/>
      <c r="C24" s="93" t="s">
        <v>313</v>
      </c>
      <c r="D24" s="25" t="s">
        <v>95</v>
      </c>
      <c r="E24" s="98">
        <v>208</v>
      </c>
      <c r="F24" s="65"/>
      <c r="G24" s="62"/>
      <c r="H24" s="47">
        <f t="shared" si="7"/>
        <v>0</v>
      </c>
      <c r="I24" s="62"/>
      <c r="J24" s="62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2.5" x14ac:dyDescent="0.2">
      <c r="A25" s="38">
        <v>8</v>
      </c>
      <c r="B25" s="39"/>
      <c r="C25" s="93" t="s">
        <v>314</v>
      </c>
      <c r="D25" s="25" t="s">
        <v>95</v>
      </c>
      <c r="E25" s="98">
        <v>2</v>
      </c>
      <c r="F25" s="65"/>
      <c r="G25" s="62"/>
      <c r="H25" s="47">
        <f t="shared" si="7"/>
        <v>0</v>
      </c>
      <c r="I25" s="62"/>
      <c r="J25" s="62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2.5" x14ac:dyDescent="0.2">
      <c r="A26" s="38">
        <v>9</v>
      </c>
      <c r="B26" s="39"/>
      <c r="C26" s="93" t="s">
        <v>315</v>
      </c>
      <c r="D26" s="25" t="s">
        <v>95</v>
      </c>
      <c r="E26" s="98">
        <v>37</v>
      </c>
      <c r="F26" s="65"/>
      <c r="G26" s="62"/>
      <c r="H26" s="47">
        <f t="shared" si="7"/>
        <v>0</v>
      </c>
      <c r="I26" s="62"/>
      <c r="J26" s="62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2.5" x14ac:dyDescent="0.2">
      <c r="A27" s="38">
        <v>10</v>
      </c>
      <c r="B27" s="39"/>
      <c r="C27" s="93" t="s">
        <v>316</v>
      </c>
      <c r="D27" s="25" t="s">
        <v>95</v>
      </c>
      <c r="E27" s="98">
        <v>3</v>
      </c>
      <c r="F27" s="65"/>
      <c r="G27" s="62"/>
      <c r="H27" s="47">
        <f t="shared" si="7"/>
        <v>0</v>
      </c>
      <c r="I27" s="62"/>
      <c r="J27" s="62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2.5" x14ac:dyDescent="0.2">
      <c r="A28" s="38">
        <v>11</v>
      </c>
      <c r="B28" s="39"/>
      <c r="C28" s="93" t="s">
        <v>317</v>
      </c>
      <c r="D28" s="25" t="s">
        <v>95</v>
      </c>
      <c r="E28" s="98">
        <v>2</v>
      </c>
      <c r="F28" s="65"/>
      <c r="G28" s="62"/>
      <c r="H28" s="47">
        <f t="shared" si="7"/>
        <v>0</v>
      </c>
      <c r="I28" s="62"/>
      <c r="J28" s="62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2.5" x14ac:dyDescent="0.2">
      <c r="A29" s="38">
        <v>12</v>
      </c>
      <c r="B29" s="39"/>
      <c r="C29" s="93" t="s">
        <v>318</v>
      </c>
      <c r="D29" s="25" t="s">
        <v>95</v>
      </c>
      <c r="E29" s="98">
        <v>55</v>
      </c>
      <c r="F29" s="65"/>
      <c r="G29" s="62"/>
      <c r="H29" s="47">
        <f t="shared" si="7"/>
        <v>0</v>
      </c>
      <c r="I29" s="62"/>
      <c r="J29" s="62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2.5" x14ac:dyDescent="0.2">
      <c r="A30" s="38">
        <v>13</v>
      </c>
      <c r="B30" s="39"/>
      <c r="C30" s="93" t="s">
        <v>319</v>
      </c>
      <c r="D30" s="25" t="s">
        <v>95</v>
      </c>
      <c r="E30" s="98">
        <v>55</v>
      </c>
      <c r="F30" s="65"/>
      <c r="G30" s="62"/>
      <c r="H30" s="47">
        <f t="shared" si="7"/>
        <v>0</v>
      </c>
      <c r="I30" s="62"/>
      <c r="J30" s="62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2.5" x14ac:dyDescent="0.2">
      <c r="A31" s="38">
        <v>14</v>
      </c>
      <c r="B31" s="39"/>
      <c r="C31" s="93" t="s">
        <v>320</v>
      </c>
      <c r="D31" s="25" t="s">
        <v>95</v>
      </c>
      <c r="E31" s="98">
        <v>1</v>
      </c>
      <c r="F31" s="65"/>
      <c r="G31" s="62"/>
      <c r="H31" s="47">
        <f>ROUND(F31*G31,2)</f>
        <v>0</v>
      </c>
      <c r="I31" s="62"/>
      <c r="J31" s="62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2.5" x14ac:dyDescent="0.2">
      <c r="A32" s="38">
        <v>15</v>
      </c>
      <c r="B32" s="39"/>
      <c r="C32" s="93" t="s">
        <v>321</v>
      </c>
      <c r="D32" s="25" t="s">
        <v>95</v>
      </c>
      <c r="E32" s="98">
        <v>36</v>
      </c>
      <c r="F32" s="65"/>
      <c r="G32" s="62"/>
      <c r="H32" s="47">
        <f t="shared" ref="H32:H33" si="8">ROUND(F32*G32,2)</f>
        <v>0</v>
      </c>
      <c r="I32" s="62"/>
      <c r="J32" s="62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2.5" x14ac:dyDescent="0.2">
      <c r="A33" s="38">
        <v>16</v>
      </c>
      <c r="B33" s="39"/>
      <c r="C33" s="93" t="s">
        <v>322</v>
      </c>
      <c r="D33" s="25" t="s">
        <v>95</v>
      </c>
      <c r="E33" s="98">
        <v>2</v>
      </c>
      <c r="F33" s="65"/>
      <c r="G33" s="62"/>
      <c r="H33" s="47">
        <f t="shared" si="8"/>
        <v>0</v>
      </c>
      <c r="I33" s="62"/>
      <c r="J33" s="62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2.5" x14ac:dyDescent="0.2">
      <c r="A34" s="38">
        <v>17</v>
      </c>
      <c r="B34" s="39"/>
      <c r="C34" s="93" t="s">
        <v>323</v>
      </c>
      <c r="D34" s="25" t="s">
        <v>95</v>
      </c>
      <c r="E34" s="98">
        <v>1</v>
      </c>
      <c r="F34" s="65"/>
      <c r="G34" s="62"/>
      <c r="H34" s="47">
        <f t="shared" si="7"/>
        <v>0</v>
      </c>
      <c r="I34" s="62"/>
      <c r="J34" s="62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2.5" x14ac:dyDescent="0.2">
      <c r="A35" s="38">
        <v>18</v>
      </c>
      <c r="B35" s="39"/>
      <c r="C35" s="93" t="s">
        <v>324</v>
      </c>
      <c r="D35" s="25" t="s">
        <v>95</v>
      </c>
      <c r="E35" s="98">
        <v>1</v>
      </c>
      <c r="F35" s="65"/>
      <c r="G35" s="62"/>
      <c r="H35" s="47">
        <f t="shared" si="7"/>
        <v>0</v>
      </c>
      <c r="I35" s="62"/>
      <c r="J35" s="62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2.5" x14ac:dyDescent="0.2">
      <c r="A36" s="38">
        <v>19</v>
      </c>
      <c r="B36" s="39"/>
      <c r="C36" s="93" t="s">
        <v>325</v>
      </c>
      <c r="D36" s="25" t="s">
        <v>95</v>
      </c>
      <c r="E36" s="98">
        <v>2</v>
      </c>
      <c r="F36" s="65"/>
      <c r="G36" s="62"/>
      <c r="H36" s="47">
        <f t="shared" si="7"/>
        <v>0</v>
      </c>
      <c r="I36" s="62"/>
      <c r="J36" s="62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2.5" x14ac:dyDescent="0.2">
      <c r="A37" s="38">
        <v>20</v>
      </c>
      <c r="B37" s="39"/>
      <c r="C37" s="93" t="s">
        <v>326</v>
      </c>
      <c r="D37" s="25" t="s">
        <v>95</v>
      </c>
      <c r="E37" s="98">
        <v>1</v>
      </c>
      <c r="F37" s="65"/>
      <c r="G37" s="62"/>
      <c r="H37" s="47">
        <f t="shared" si="7"/>
        <v>0</v>
      </c>
      <c r="I37" s="62"/>
      <c r="J37" s="62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2.5" x14ac:dyDescent="0.2">
      <c r="A38" s="38">
        <v>21</v>
      </c>
      <c r="B38" s="39"/>
      <c r="C38" s="93" t="s">
        <v>327</v>
      </c>
      <c r="D38" s="25" t="s">
        <v>95</v>
      </c>
      <c r="E38" s="98">
        <v>1</v>
      </c>
      <c r="F38" s="65"/>
      <c r="G38" s="62"/>
      <c r="H38" s="47">
        <f t="shared" si="7"/>
        <v>0</v>
      </c>
      <c r="I38" s="62"/>
      <c r="J38" s="62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2.5" x14ac:dyDescent="0.2">
      <c r="A39" s="38">
        <v>22</v>
      </c>
      <c r="B39" s="39"/>
      <c r="C39" s="93" t="s">
        <v>328</v>
      </c>
      <c r="D39" s="25" t="s">
        <v>95</v>
      </c>
      <c r="E39" s="98">
        <v>2</v>
      </c>
      <c r="F39" s="65"/>
      <c r="G39" s="62"/>
      <c r="H39" s="47">
        <f t="shared" si="7"/>
        <v>0</v>
      </c>
      <c r="I39" s="62"/>
      <c r="J39" s="62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2.5" x14ac:dyDescent="0.2">
      <c r="A40" s="38">
        <v>23</v>
      </c>
      <c r="B40" s="39"/>
      <c r="C40" s="93" t="s">
        <v>329</v>
      </c>
      <c r="D40" s="25" t="s">
        <v>95</v>
      </c>
      <c r="E40" s="98">
        <v>1</v>
      </c>
      <c r="F40" s="65"/>
      <c r="G40" s="62"/>
      <c r="H40" s="47">
        <f t="shared" si="7"/>
        <v>0</v>
      </c>
      <c r="I40" s="62"/>
      <c r="J40" s="62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2.5" x14ac:dyDescent="0.2">
      <c r="A41" s="38">
        <v>24</v>
      </c>
      <c r="B41" s="39"/>
      <c r="C41" s="93" t="s">
        <v>330</v>
      </c>
      <c r="D41" s="25" t="s">
        <v>95</v>
      </c>
      <c r="E41" s="98">
        <v>1</v>
      </c>
      <c r="F41" s="65"/>
      <c r="G41" s="62"/>
      <c r="H41" s="47">
        <f t="shared" si="7"/>
        <v>0</v>
      </c>
      <c r="I41" s="62"/>
      <c r="J41" s="62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2.5" x14ac:dyDescent="0.2">
      <c r="A42" s="38">
        <v>25</v>
      </c>
      <c r="B42" s="39"/>
      <c r="C42" s="93" t="s">
        <v>331</v>
      </c>
      <c r="D42" s="25" t="s">
        <v>95</v>
      </c>
      <c r="E42" s="98">
        <v>2</v>
      </c>
      <c r="F42" s="65"/>
      <c r="G42" s="62"/>
      <c r="H42" s="47">
        <f t="shared" si="7"/>
        <v>0</v>
      </c>
      <c r="I42" s="62"/>
      <c r="J42" s="62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2.5" x14ac:dyDescent="0.2">
      <c r="A43" s="38">
        <v>26</v>
      </c>
      <c r="B43" s="39"/>
      <c r="C43" s="93" t="s">
        <v>332</v>
      </c>
      <c r="D43" s="25" t="s">
        <v>95</v>
      </c>
      <c r="E43" s="98">
        <v>1</v>
      </c>
      <c r="F43" s="65"/>
      <c r="G43" s="62"/>
      <c r="H43" s="47">
        <f t="shared" si="7"/>
        <v>0</v>
      </c>
      <c r="I43" s="62"/>
      <c r="J43" s="62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2.5" x14ac:dyDescent="0.2">
      <c r="A44" s="38">
        <v>27</v>
      </c>
      <c r="B44" s="39"/>
      <c r="C44" s="93" t="s">
        <v>333</v>
      </c>
      <c r="D44" s="25" t="s">
        <v>95</v>
      </c>
      <c r="E44" s="98">
        <v>1</v>
      </c>
      <c r="F44" s="65"/>
      <c r="G44" s="62"/>
      <c r="H44" s="47">
        <f t="shared" si="7"/>
        <v>0</v>
      </c>
      <c r="I44" s="62"/>
      <c r="J44" s="62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2.5" x14ac:dyDescent="0.2">
      <c r="A45" s="38">
        <v>28</v>
      </c>
      <c r="B45" s="39"/>
      <c r="C45" s="93" t="s">
        <v>334</v>
      </c>
      <c r="D45" s="25" t="s">
        <v>95</v>
      </c>
      <c r="E45" s="98">
        <v>1</v>
      </c>
      <c r="F45" s="65"/>
      <c r="G45" s="62"/>
      <c r="H45" s="47">
        <f t="shared" si="7"/>
        <v>0</v>
      </c>
      <c r="I45" s="62"/>
      <c r="J45" s="62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2.5" x14ac:dyDescent="0.2">
      <c r="A46" s="38">
        <v>29</v>
      </c>
      <c r="B46" s="39"/>
      <c r="C46" s="93" t="s">
        <v>335</v>
      </c>
      <c r="D46" s="25" t="s">
        <v>95</v>
      </c>
      <c r="E46" s="98">
        <v>1</v>
      </c>
      <c r="F46" s="65"/>
      <c r="G46" s="62"/>
      <c r="H46" s="47">
        <f t="shared" si="7"/>
        <v>0</v>
      </c>
      <c r="I46" s="62"/>
      <c r="J46" s="62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2.5" x14ac:dyDescent="0.2">
      <c r="A47" s="38">
        <v>30</v>
      </c>
      <c r="B47" s="39"/>
      <c r="C47" s="93" t="s">
        <v>336</v>
      </c>
      <c r="D47" s="25" t="s">
        <v>95</v>
      </c>
      <c r="E47" s="98">
        <v>1</v>
      </c>
      <c r="F47" s="65"/>
      <c r="G47" s="62"/>
      <c r="H47" s="47">
        <f t="shared" si="7"/>
        <v>0</v>
      </c>
      <c r="I47" s="62"/>
      <c r="J47" s="62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x14ac:dyDescent="0.2">
      <c r="A48" s="38">
        <v>31</v>
      </c>
      <c r="B48" s="39"/>
      <c r="C48" s="93" t="s">
        <v>337</v>
      </c>
      <c r="D48" s="25" t="s">
        <v>95</v>
      </c>
      <c r="E48" s="98">
        <v>21</v>
      </c>
      <c r="F48" s="65"/>
      <c r="G48" s="62"/>
      <c r="H48" s="47">
        <f t="shared" si="7"/>
        <v>0</v>
      </c>
      <c r="I48" s="62"/>
      <c r="J48" s="62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x14ac:dyDescent="0.2">
      <c r="A49" s="38">
        <v>32</v>
      </c>
      <c r="B49" s="39"/>
      <c r="C49" s="93" t="s">
        <v>338</v>
      </c>
      <c r="D49" s="25" t="s">
        <v>95</v>
      </c>
      <c r="E49" s="98">
        <v>19</v>
      </c>
      <c r="F49" s="65"/>
      <c r="G49" s="62"/>
      <c r="H49" s="47">
        <f t="shared" si="7"/>
        <v>0</v>
      </c>
      <c r="I49" s="62"/>
      <c r="J49" s="62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>
        <v>33</v>
      </c>
      <c r="B50" s="39"/>
      <c r="C50" s="93" t="s">
        <v>339</v>
      </c>
      <c r="D50" s="25" t="s">
        <v>95</v>
      </c>
      <c r="E50" s="98">
        <v>4</v>
      </c>
      <c r="F50" s="65"/>
      <c r="G50" s="62"/>
      <c r="H50" s="47">
        <f t="shared" si="7"/>
        <v>0</v>
      </c>
      <c r="I50" s="62"/>
      <c r="J50" s="62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x14ac:dyDescent="0.2">
      <c r="A51" s="38">
        <v>34</v>
      </c>
      <c r="B51" s="39"/>
      <c r="C51" s="93" t="s">
        <v>340</v>
      </c>
      <c r="D51" s="25" t="s">
        <v>95</v>
      </c>
      <c r="E51" s="98">
        <v>2</v>
      </c>
      <c r="F51" s="65"/>
      <c r="G51" s="62"/>
      <c r="H51" s="47">
        <f t="shared" si="7"/>
        <v>0</v>
      </c>
      <c r="I51" s="62"/>
      <c r="J51" s="62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35</v>
      </c>
      <c r="B52" s="39"/>
      <c r="C52" s="93" t="s">
        <v>341</v>
      </c>
      <c r="D52" s="25" t="s">
        <v>95</v>
      </c>
      <c r="E52" s="98">
        <v>2</v>
      </c>
      <c r="F52" s="65"/>
      <c r="G52" s="62"/>
      <c r="H52" s="47">
        <f t="shared" si="7"/>
        <v>0</v>
      </c>
      <c r="I52" s="62"/>
      <c r="J52" s="62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>
        <v>36</v>
      </c>
      <c r="B53" s="39"/>
      <c r="C53" s="93" t="s">
        <v>342</v>
      </c>
      <c r="D53" s="25" t="s">
        <v>95</v>
      </c>
      <c r="E53" s="98">
        <v>1</v>
      </c>
      <c r="F53" s="65"/>
      <c r="G53" s="62"/>
      <c r="H53" s="47">
        <f t="shared" si="7"/>
        <v>0</v>
      </c>
      <c r="I53" s="62"/>
      <c r="J53" s="62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22.5" x14ac:dyDescent="0.2">
      <c r="A54" s="38">
        <v>37</v>
      </c>
      <c r="B54" s="39"/>
      <c r="C54" s="93" t="s">
        <v>343</v>
      </c>
      <c r="D54" s="25" t="s">
        <v>95</v>
      </c>
      <c r="E54" s="98">
        <v>80</v>
      </c>
      <c r="F54" s="65"/>
      <c r="G54" s="62"/>
      <c r="H54" s="47">
        <f t="shared" si="7"/>
        <v>0</v>
      </c>
      <c r="I54" s="62"/>
      <c r="J54" s="62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2.5" x14ac:dyDescent="0.2">
      <c r="A55" s="38">
        <v>38</v>
      </c>
      <c r="B55" s="39"/>
      <c r="C55" s="93" t="s">
        <v>344</v>
      </c>
      <c r="D55" s="25" t="s">
        <v>95</v>
      </c>
      <c r="E55" s="98">
        <v>18</v>
      </c>
      <c r="F55" s="65"/>
      <c r="G55" s="62"/>
      <c r="H55" s="47">
        <f t="shared" si="7"/>
        <v>0</v>
      </c>
      <c r="I55" s="62"/>
      <c r="J55" s="62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22.5" x14ac:dyDescent="0.2">
      <c r="A56" s="38">
        <v>39</v>
      </c>
      <c r="B56" s="39"/>
      <c r="C56" s="93" t="s">
        <v>345</v>
      </c>
      <c r="D56" s="25" t="s">
        <v>95</v>
      </c>
      <c r="E56" s="98">
        <v>1</v>
      </c>
      <c r="F56" s="65"/>
      <c r="G56" s="62"/>
      <c r="H56" s="47">
        <f t="shared" si="7"/>
        <v>0</v>
      </c>
      <c r="I56" s="62"/>
      <c r="J56" s="62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22.5" x14ac:dyDescent="0.2">
      <c r="A57" s="38">
        <v>40</v>
      </c>
      <c r="B57" s="39"/>
      <c r="C57" s="93" t="s">
        <v>346</v>
      </c>
      <c r="D57" s="25" t="s">
        <v>95</v>
      </c>
      <c r="E57" s="98">
        <v>2</v>
      </c>
      <c r="F57" s="65"/>
      <c r="G57" s="62"/>
      <c r="H57" s="47">
        <f t="shared" si="7"/>
        <v>0</v>
      </c>
      <c r="I57" s="62"/>
      <c r="J57" s="62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22.5" x14ac:dyDescent="0.2">
      <c r="A58" s="38">
        <v>41</v>
      </c>
      <c r="B58" s="39"/>
      <c r="C58" s="93" t="s">
        <v>347</v>
      </c>
      <c r="D58" s="25" t="s">
        <v>95</v>
      </c>
      <c r="E58" s="98">
        <v>2</v>
      </c>
      <c r="F58" s="65"/>
      <c r="G58" s="62"/>
      <c r="H58" s="47">
        <f t="shared" si="7"/>
        <v>0</v>
      </c>
      <c r="I58" s="62"/>
      <c r="J58" s="62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22.5" x14ac:dyDescent="0.2">
      <c r="A59" s="38">
        <v>42</v>
      </c>
      <c r="B59" s="39"/>
      <c r="C59" s="93" t="s">
        <v>348</v>
      </c>
      <c r="D59" s="25" t="s">
        <v>95</v>
      </c>
      <c r="E59" s="98">
        <v>9</v>
      </c>
      <c r="F59" s="65"/>
      <c r="G59" s="62"/>
      <c r="H59" s="47">
        <f t="shared" si="7"/>
        <v>0</v>
      </c>
      <c r="I59" s="62"/>
      <c r="J59" s="62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2.5" x14ac:dyDescent="0.2">
      <c r="A60" s="38">
        <v>43</v>
      </c>
      <c r="B60" s="39"/>
      <c r="C60" s="93" t="s">
        <v>349</v>
      </c>
      <c r="D60" s="25" t="s">
        <v>95</v>
      </c>
      <c r="E60" s="98">
        <v>31</v>
      </c>
      <c r="F60" s="65"/>
      <c r="G60" s="62"/>
      <c r="H60" s="47">
        <f>ROUND(F60*G60,2)</f>
        <v>0</v>
      </c>
      <c r="I60" s="62"/>
      <c r="J60" s="62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22.5" x14ac:dyDescent="0.2">
      <c r="A61" s="38">
        <v>44</v>
      </c>
      <c r="B61" s="39"/>
      <c r="C61" s="93" t="s">
        <v>350</v>
      </c>
      <c r="D61" s="25" t="s">
        <v>82</v>
      </c>
      <c r="E61" s="98">
        <v>182</v>
      </c>
      <c r="F61" s="65"/>
      <c r="G61" s="62"/>
      <c r="H61" s="47">
        <f t="shared" ref="H61:H74" si="9">ROUND(F61*G61,2)</f>
        <v>0</v>
      </c>
      <c r="I61" s="62"/>
      <c r="J61" s="62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22.5" x14ac:dyDescent="0.2">
      <c r="A62" s="38">
        <v>45</v>
      </c>
      <c r="B62" s="39"/>
      <c r="C62" s="93" t="s">
        <v>351</v>
      </c>
      <c r="D62" s="25" t="s">
        <v>82</v>
      </c>
      <c r="E62" s="98">
        <v>61</v>
      </c>
      <c r="F62" s="65"/>
      <c r="G62" s="62"/>
      <c r="H62" s="47">
        <f t="shared" si="9"/>
        <v>0</v>
      </c>
      <c r="I62" s="62"/>
      <c r="J62" s="62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22.5" x14ac:dyDescent="0.2">
      <c r="A63" s="38">
        <v>46</v>
      </c>
      <c r="B63" s="39"/>
      <c r="C63" s="93" t="s">
        <v>352</v>
      </c>
      <c r="D63" s="25" t="s">
        <v>82</v>
      </c>
      <c r="E63" s="98">
        <v>55</v>
      </c>
      <c r="F63" s="65"/>
      <c r="G63" s="62"/>
      <c r="H63" s="47">
        <f t="shared" si="9"/>
        <v>0</v>
      </c>
      <c r="I63" s="62"/>
      <c r="J63" s="62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22.5" x14ac:dyDescent="0.2">
      <c r="A64" s="38">
        <v>47</v>
      </c>
      <c r="B64" s="39"/>
      <c r="C64" s="93" t="s">
        <v>353</v>
      </c>
      <c r="D64" s="25" t="s">
        <v>82</v>
      </c>
      <c r="E64" s="98">
        <v>19</v>
      </c>
      <c r="F64" s="65"/>
      <c r="G64" s="62"/>
      <c r="H64" s="47">
        <f t="shared" si="9"/>
        <v>0</v>
      </c>
      <c r="I64" s="62"/>
      <c r="J64" s="62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22" ht="22.5" x14ac:dyDescent="0.2">
      <c r="A65" s="38">
        <v>48</v>
      </c>
      <c r="B65" s="39"/>
      <c r="C65" s="93" t="s">
        <v>354</v>
      </c>
      <c r="D65" s="25" t="s">
        <v>82</v>
      </c>
      <c r="E65" s="98">
        <v>5</v>
      </c>
      <c r="F65" s="65"/>
      <c r="G65" s="62"/>
      <c r="H65" s="47">
        <f t="shared" si="9"/>
        <v>0</v>
      </c>
      <c r="I65" s="62"/>
      <c r="J65" s="62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22" ht="22.5" x14ac:dyDescent="0.2">
      <c r="A66" s="38">
        <v>49</v>
      </c>
      <c r="B66" s="39"/>
      <c r="C66" s="93" t="s">
        <v>355</v>
      </c>
      <c r="D66" s="25" t="s">
        <v>82</v>
      </c>
      <c r="E66" s="98">
        <v>40</v>
      </c>
      <c r="F66" s="65"/>
      <c r="G66" s="62"/>
      <c r="H66" s="47">
        <f t="shared" si="9"/>
        <v>0</v>
      </c>
      <c r="I66" s="62"/>
      <c r="J66" s="62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22" ht="45" customHeight="1" x14ac:dyDescent="0.2">
      <c r="A67" s="38">
        <v>50</v>
      </c>
      <c r="B67" s="39"/>
      <c r="C67" s="93" t="s">
        <v>356</v>
      </c>
      <c r="D67" s="25" t="s">
        <v>82</v>
      </c>
      <c r="E67" s="98">
        <v>228</v>
      </c>
      <c r="F67" s="65"/>
      <c r="G67" s="62"/>
      <c r="H67" s="47">
        <f t="shared" si="9"/>
        <v>0</v>
      </c>
      <c r="I67" s="62"/>
      <c r="J67" s="62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  <c r="Q67" s="104"/>
      <c r="R67" s="105"/>
      <c r="S67" s="31"/>
      <c r="T67" s="31"/>
      <c r="U67" s="31"/>
      <c r="V67" s="31"/>
    </row>
    <row r="68" spans="1:22" ht="45" x14ac:dyDescent="0.2">
      <c r="A68" s="38">
        <v>51</v>
      </c>
      <c r="B68" s="39"/>
      <c r="C68" s="93" t="s">
        <v>357</v>
      </c>
      <c r="D68" s="25" t="s">
        <v>82</v>
      </c>
      <c r="E68" s="98">
        <v>100</v>
      </c>
      <c r="F68" s="65"/>
      <c r="G68" s="62"/>
      <c r="H68" s="47">
        <f t="shared" si="9"/>
        <v>0</v>
      </c>
      <c r="I68" s="62"/>
      <c r="J68" s="62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  <c r="Q68" s="104"/>
      <c r="R68" s="105"/>
      <c r="S68" s="31"/>
      <c r="T68" s="31"/>
      <c r="U68" s="31"/>
      <c r="V68" s="31"/>
    </row>
    <row r="69" spans="1:22" ht="45" x14ac:dyDescent="0.2">
      <c r="A69" s="38">
        <v>52</v>
      </c>
      <c r="B69" s="39"/>
      <c r="C69" s="93" t="s">
        <v>358</v>
      </c>
      <c r="D69" s="25" t="s">
        <v>82</v>
      </c>
      <c r="E69" s="98">
        <v>75</v>
      </c>
      <c r="F69" s="65"/>
      <c r="G69" s="62"/>
      <c r="H69" s="47">
        <f t="shared" si="9"/>
        <v>0</v>
      </c>
      <c r="I69" s="62"/>
      <c r="J69" s="62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  <c r="Q69" s="104"/>
      <c r="R69" s="105"/>
    </row>
    <row r="70" spans="1:22" ht="45" x14ac:dyDescent="0.2">
      <c r="A70" s="38">
        <v>53</v>
      </c>
      <c r="B70" s="39"/>
      <c r="C70" s="93" t="s">
        <v>359</v>
      </c>
      <c r="D70" s="25" t="s">
        <v>82</v>
      </c>
      <c r="E70" s="98">
        <v>46</v>
      </c>
      <c r="F70" s="65"/>
      <c r="G70" s="62"/>
      <c r="H70" s="47">
        <f t="shared" si="9"/>
        <v>0</v>
      </c>
      <c r="I70" s="62"/>
      <c r="J70" s="62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  <c r="Q70" s="104"/>
      <c r="R70" s="105"/>
    </row>
    <row r="71" spans="1:22" ht="45" x14ac:dyDescent="0.2">
      <c r="A71" s="38">
        <v>54</v>
      </c>
      <c r="B71" s="39"/>
      <c r="C71" s="93" t="s">
        <v>360</v>
      </c>
      <c r="D71" s="25" t="s">
        <v>82</v>
      </c>
      <c r="E71" s="98">
        <v>5</v>
      </c>
      <c r="F71" s="65"/>
      <c r="G71" s="62"/>
      <c r="H71" s="47">
        <f t="shared" si="9"/>
        <v>0</v>
      </c>
      <c r="I71" s="62"/>
      <c r="J71" s="62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  <c r="Q71" s="104"/>
      <c r="R71" s="105"/>
    </row>
    <row r="72" spans="1:22" x14ac:dyDescent="0.2">
      <c r="A72" s="38">
        <v>55</v>
      </c>
      <c r="B72" s="39"/>
      <c r="C72" s="93" t="s">
        <v>361</v>
      </c>
      <c r="D72" s="25" t="s">
        <v>68</v>
      </c>
      <c r="E72" s="98">
        <v>1</v>
      </c>
      <c r="F72" s="65"/>
      <c r="G72" s="62"/>
      <c r="H72" s="47">
        <f t="shared" si="9"/>
        <v>0</v>
      </c>
      <c r="I72" s="62"/>
      <c r="J72" s="62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22" x14ac:dyDescent="0.2">
      <c r="A73" s="38">
        <v>56</v>
      </c>
      <c r="B73" s="39"/>
      <c r="C73" s="93" t="s">
        <v>362</v>
      </c>
      <c r="D73" s="25" t="s">
        <v>68</v>
      </c>
      <c r="E73" s="98">
        <v>1</v>
      </c>
      <c r="F73" s="65"/>
      <c r="G73" s="62"/>
      <c r="H73" s="47">
        <f t="shared" si="9"/>
        <v>0</v>
      </c>
      <c r="I73" s="62"/>
      <c r="J73" s="62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</row>
    <row r="74" spans="1:22" ht="22.5" x14ac:dyDescent="0.2">
      <c r="A74" s="38">
        <v>57</v>
      </c>
      <c r="B74" s="39"/>
      <c r="C74" s="93" t="s">
        <v>363</v>
      </c>
      <c r="D74" s="25" t="s">
        <v>68</v>
      </c>
      <c r="E74" s="98">
        <v>36</v>
      </c>
      <c r="F74" s="65"/>
      <c r="G74" s="62"/>
      <c r="H74" s="47">
        <f t="shared" si="9"/>
        <v>0</v>
      </c>
      <c r="I74" s="62"/>
      <c r="J74" s="62"/>
      <c r="K74" s="48">
        <f t="shared" si="1"/>
        <v>0</v>
      </c>
      <c r="L74" s="49">
        <f t="shared" si="2"/>
        <v>0</v>
      </c>
      <c r="M74" s="47">
        <f t="shared" si="3"/>
        <v>0</v>
      </c>
      <c r="N74" s="47">
        <f t="shared" si="4"/>
        <v>0</v>
      </c>
      <c r="O74" s="47">
        <f t="shared" si="5"/>
        <v>0</v>
      </c>
      <c r="P74" s="48">
        <f t="shared" si="6"/>
        <v>0</v>
      </c>
    </row>
    <row r="75" spans="1:22" x14ac:dyDescent="0.2">
      <c r="A75" s="94">
        <v>3</v>
      </c>
      <c r="B75" s="95"/>
      <c r="C75" s="96" t="s">
        <v>364</v>
      </c>
      <c r="D75" s="25"/>
      <c r="E75" s="98"/>
      <c r="F75" s="65"/>
      <c r="G75" s="62"/>
      <c r="H75" s="47"/>
      <c r="I75" s="62"/>
      <c r="J75" s="62"/>
      <c r="K75" s="48">
        <f t="shared" ref="K75:K95" si="10">SUM(H75:J75)</f>
        <v>0</v>
      </c>
      <c r="L75" s="49">
        <f t="shared" ref="L75:L95" si="11">ROUND(E75*F75,2)</f>
        <v>0</v>
      </c>
      <c r="M75" s="47">
        <f t="shared" ref="M75:M95" si="12">ROUND(H75*E75,2)</f>
        <v>0</v>
      </c>
      <c r="N75" s="47">
        <f t="shared" ref="N75:N95" si="13">ROUND(I75*E75,2)</f>
        <v>0</v>
      </c>
      <c r="O75" s="47">
        <f t="shared" ref="O75:O95" si="14">ROUND(J75*E75,2)</f>
        <v>0</v>
      </c>
      <c r="P75" s="48">
        <f t="shared" ref="P75:P95" si="15">SUM(M75:O75)</f>
        <v>0</v>
      </c>
    </row>
    <row r="76" spans="1:22" ht="22.5" x14ac:dyDescent="0.2">
      <c r="A76" s="38">
        <v>1</v>
      </c>
      <c r="B76" s="39"/>
      <c r="C76" s="93" t="s">
        <v>365</v>
      </c>
      <c r="D76" s="25" t="s">
        <v>82</v>
      </c>
      <c r="E76" s="98">
        <v>240</v>
      </c>
      <c r="F76" s="65"/>
      <c r="G76" s="62"/>
      <c r="H76" s="47">
        <f t="shared" ref="H76:H83" si="16">ROUND(F76*G76,2)</f>
        <v>0</v>
      </c>
      <c r="I76" s="62"/>
      <c r="J76" s="62"/>
      <c r="K76" s="48">
        <f t="shared" si="10"/>
        <v>0</v>
      </c>
      <c r="L76" s="49">
        <f t="shared" si="11"/>
        <v>0</v>
      </c>
      <c r="M76" s="47">
        <f t="shared" si="12"/>
        <v>0</v>
      </c>
      <c r="N76" s="47">
        <f t="shared" si="13"/>
        <v>0</v>
      </c>
      <c r="O76" s="47">
        <f t="shared" si="14"/>
        <v>0</v>
      </c>
      <c r="P76" s="48">
        <f t="shared" si="15"/>
        <v>0</v>
      </c>
    </row>
    <row r="77" spans="1:22" x14ac:dyDescent="0.2">
      <c r="A77" s="38">
        <v>2</v>
      </c>
      <c r="B77" s="39"/>
      <c r="C77" s="93" t="s">
        <v>366</v>
      </c>
      <c r="D77" s="25" t="s">
        <v>95</v>
      </c>
      <c r="E77" s="98">
        <v>35</v>
      </c>
      <c r="F77" s="65"/>
      <c r="G77" s="62"/>
      <c r="H77" s="47">
        <f t="shared" si="16"/>
        <v>0</v>
      </c>
      <c r="I77" s="62"/>
      <c r="J77" s="62"/>
      <c r="K77" s="48">
        <f t="shared" si="10"/>
        <v>0</v>
      </c>
      <c r="L77" s="49">
        <f t="shared" si="11"/>
        <v>0</v>
      </c>
      <c r="M77" s="47">
        <f t="shared" si="12"/>
        <v>0</v>
      </c>
      <c r="N77" s="47">
        <f t="shared" si="13"/>
        <v>0</v>
      </c>
      <c r="O77" s="47">
        <f t="shared" si="14"/>
        <v>0</v>
      </c>
      <c r="P77" s="48">
        <f t="shared" si="15"/>
        <v>0</v>
      </c>
    </row>
    <row r="78" spans="1:22" x14ac:dyDescent="0.2">
      <c r="A78" s="38">
        <v>3</v>
      </c>
      <c r="B78" s="39"/>
      <c r="C78" s="93" t="s">
        <v>367</v>
      </c>
      <c r="D78" s="25" t="s">
        <v>95</v>
      </c>
      <c r="E78" s="98">
        <v>42</v>
      </c>
      <c r="F78" s="65"/>
      <c r="G78" s="62"/>
      <c r="H78" s="47">
        <f t="shared" si="16"/>
        <v>0</v>
      </c>
      <c r="I78" s="62"/>
      <c r="J78" s="62"/>
      <c r="K78" s="48">
        <f t="shared" si="10"/>
        <v>0</v>
      </c>
      <c r="L78" s="49">
        <f t="shared" si="11"/>
        <v>0</v>
      </c>
      <c r="M78" s="47">
        <f t="shared" si="12"/>
        <v>0</v>
      </c>
      <c r="N78" s="47">
        <f t="shared" si="13"/>
        <v>0</v>
      </c>
      <c r="O78" s="47">
        <f t="shared" si="14"/>
        <v>0</v>
      </c>
      <c r="P78" s="48">
        <f t="shared" si="15"/>
        <v>0</v>
      </c>
    </row>
    <row r="79" spans="1:22" x14ac:dyDescent="0.2">
      <c r="A79" s="38">
        <v>4</v>
      </c>
      <c r="B79" s="39"/>
      <c r="C79" s="93" t="s">
        <v>368</v>
      </c>
      <c r="D79" s="25" t="s">
        <v>95</v>
      </c>
      <c r="E79" s="98">
        <v>21</v>
      </c>
      <c r="F79" s="65"/>
      <c r="G79" s="62"/>
      <c r="H79" s="47">
        <f t="shared" si="16"/>
        <v>0</v>
      </c>
      <c r="I79" s="62"/>
      <c r="J79" s="62"/>
      <c r="K79" s="48">
        <f t="shared" si="10"/>
        <v>0</v>
      </c>
      <c r="L79" s="49">
        <f t="shared" si="11"/>
        <v>0</v>
      </c>
      <c r="M79" s="47">
        <f t="shared" si="12"/>
        <v>0</v>
      </c>
      <c r="N79" s="47">
        <f t="shared" si="13"/>
        <v>0</v>
      </c>
      <c r="O79" s="47">
        <f t="shared" si="14"/>
        <v>0</v>
      </c>
      <c r="P79" s="48">
        <f t="shared" si="15"/>
        <v>0</v>
      </c>
    </row>
    <row r="80" spans="1:22" ht="22.5" x14ac:dyDescent="0.2">
      <c r="A80" s="38">
        <v>5</v>
      </c>
      <c r="B80" s="39"/>
      <c r="C80" s="93" t="s">
        <v>369</v>
      </c>
      <c r="D80" s="25" t="s">
        <v>82</v>
      </c>
      <c r="E80" s="98">
        <v>240</v>
      </c>
      <c r="F80" s="65"/>
      <c r="G80" s="62"/>
      <c r="H80" s="47">
        <f t="shared" si="16"/>
        <v>0</v>
      </c>
      <c r="I80" s="62"/>
      <c r="J80" s="62"/>
      <c r="K80" s="48">
        <f t="shared" si="10"/>
        <v>0</v>
      </c>
      <c r="L80" s="49">
        <f t="shared" si="11"/>
        <v>0</v>
      </c>
      <c r="M80" s="47">
        <f t="shared" si="12"/>
        <v>0</v>
      </c>
      <c r="N80" s="47">
        <f t="shared" si="13"/>
        <v>0</v>
      </c>
      <c r="O80" s="47">
        <f t="shared" si="14"/>
        <v>0</v>
      </c>
      <c r="P80" s="48">
        <f t="shared" si="15"/>
        <v>0</v>
      </c>
      <c r="R80" s="105"/>
    </row>
    <row r="81" spans="1:16" ht="22.5" x14ac:dyDescent="0.2">
      <c r="A81" s="38">
        <v>6</v>
      </c>
      <c r="B81" s="39"/>
      <c r="C81" s="93" t="s">
        <v>370</v>
      </c>
      <c r="D81" s="25" t="s">
        <v>95</v>
      </c>
      <c r="E81" s="98">
        <v>45</v>
      </c>
      <c r="F81" s="65"/>
      <c r="G81" s="62"/>
      <c r="H81" s="47">
        <f t="shared" si="16"/>
        <v>0</v>
      </c>
      <c r="I81" s="62"/>
      <c r="J81" s="62"/>
      <c r="K81" s="48">
        <f t="shared" si="10"/>
        <v>0</v>
      </c>
      <c r="L81" s="49">
        <f t="shared" si="11"/>
        <v>0</v>
      </c>
      <c r="M81" s="47">
        <f t="shared" si="12"/>
        <v>0</v>
      </c>
      <c r="N81" s="47">
        <f t="shared" si="13"/>
        <v>0</v>
      </c>
      <c r="O81" s="47">
        <f t="shared" si="14"/>
        <v>0</v>
      </c>
      <c r="P81" s="48">
        <f t="shared" si="15"/>
        <v>0</v>
      </c>
    </row>
    <row r="82" spans="1:16" ht="33.75" x14ac:dyDescent="0.2">
      <c r="A82" s="38">
        <v>7</v>
      </c>
      <c r="B82" s="39"/>
      <c r="C82" s="93" t="s">
        <v>371</v>
      </c>
      <c r="D82" s="25" t="s">
        <v>372</v>
      </c>
      <c r="E82" s="98">
        <v>3</v>
      </c>
      <c r="F82" s="65"/>
      <c r="G82" s="62"/>
      <c r="H82" s="47">
        <f t="shared" si="16"/>
        <v>0</v>
      </c>
      <c r="I82" s="62"/>
      <c r="J82" s="62"/>
      <c r="K82" s="48">
        <f t="shared" si="10"/>
        <v>0</v>
      </c>
      <c r="L82" s="49">
        <f t="shared" si="11"/>
        <v>0</v>
      </c>
      <c r="M82" s="47">
        <f t="shared" si="12"/>
        <v>0</v>
      </c>
      <c r="N82" s="47">
        <f t="shared" si="13"/>
        <v>0</v>
      </c>
      <c r="O82" s="47">
        <f t="shared" si="14"/>
        <v>0</v>
      </c>
      <c r="P82" s="48">
        <f t="shared" si="15"/>
        <v>0</v>
      </c>
    </row>
    <row r="83" spans="1:16" x14ac:dyDescent="0.2">
      <c r="A83" s="38">
        <v>8</v>
      </c>
      <c r="B83" s="39"/>
      <c r="C83" s="93" t="s">
        <v>373</v>
      </c>
      <c r="D83" s="25" t="s">
        <v>82</v>
      </c>
      <c r="E83" s="98">
        <v>14</v>
      </c>
      <c r="F83" s="65"/>
      <c r="G83" s="62"/>
      <c r="H83" s="47">
        <f t="shared" si="16"/>
        <v>0</v>
      </c>
      <c r="I83" s="62"/>
      <c r="J83" s="62"/>
      <c r="K83" s="48">
        <f t="shared" si="10"/>
        <v>0</v>
      </c>
      <c r="L83" s="49">
        <f t="shared" si="11"/>
        <v>0</v>
      </c>
      <c r="M83" s="47">
        <f t="shared" si="12"/>
        <v>0</v>
      </c>
      <c r="N83" s="47">
        <f t="shared" si="13"/>
        <v>0</v>
      </c>
      <c r="O83" s="47">
        <f t="shared" si="14"/>
        <v>0</v>
      </c>
      <c r="P83" s="48">
        <f t="shared" si="15"/>
        <v>0</v>
      </c>
    </row>
    <row r="84" spans="1:16" x14ac:dyDescent="0.2">
      <c r="A84" s="94">
        <v>4</v>
      </c>
      <c r="B84" s="95"/>
      <c r="C84" s="96" t="s">
        <v>374</v>
      </c>
      <c r="D84" s="25"/>
      <c r="E84" s="98"/>
      <c r="F84" s="65"/>
      <c r="G84" s="62"/>
      <c r="H84" s="47"/>
      <c r="I84" s="62"/>
      <c r="J84" s="62"/>
      <c r="K84" s="48">
        <f t="shared" si="10"/>
        <v>0</v>
      </c>
      <c r="L84" s="49">
        <f t="shared" si="11"/>
        <v>0</v>
      </c>
      <c r="M84" s="47">
        <f t="shared" si="12"/>
        <v>0</v>
      </c>
      <c r="N84" s="47">
        <f t="shared" si="13"/>
        <v>0</v>
      </c>
      <c r="O84" s="47">
        <f t="shared" si="14"/>
        <v>0</v>
      </c>
      <c r="P84" s="48">
        <f t="shared" si="15"/>
        <v>0</v>
      </c>
    </row>
    <row r="85" spans="1:16" x14ac:dyDescent="0.2">
      <c r="A85" s="38">
        <v>1</v>
      </c>
      <c r="B85" s="39"/>
      <c r="C85" s="93" t="s">
        <v>375</v>
      </c>
      <c r="D85" s="25" t="s">
        <v>68</v>
      </c>
      <c r="E85" s="98">
        <v>1</v>
      </c>
      <c r="F85" s="65"/>
      <c r="G85" s="62"/>
      <c r="H85" s="47">
        <f t="shared" ref="H85:H93" si="17">ROUND(F85*G85,2)</f>
        <v>0</v>
      </c>
      <c r="I85" s="62"/>
      <c r="J85" s="62"/>
      <c r="K85" s="48">
        <f t="shared" si="10"/>
        <v>0</v>
      </c>
      <c r="L85" s="49">
        <f t="shared" si="11"/>
        <v>0</v>
      </c>
      <c r="M85" s="47">
        <f t="shared" si="12"/>
        <v>0</v>
      </c>
      <c r="N85" s="47">
        <f t="shared" si="13"/>
        <v>0</v>
      </c>
      <c r="O85" s="47">
        <f t="shared" si="14"/>
        <v>0</v>
      </c>
      <c r="P85" s="48">
        <f t="shared" si="15"/>
        <v>0</v>
      </c>
    </row>
    <row r="86" spans="1:16" x14ac:dyDescent="0.2">
      <c r="A86" s="38">
        <v>2</v>
      </c>
      <c r="B86" s="39"/>
      <c r="C86" s="93" t="s">
        <v>376</v>
      </c>
      <c r="D86" s="25" t="s">
        <v>68</v>
      </c>
      <c r="E86" s="98">
        <v>1</v>
      </c>
      <c r="F86" s="65"/>
      <c r="G86" s="62"/>
      <c r="H86" s="47">
        <f t="shared" si="17"/>
        <v>0</v>
      </c>
      <c r="I86" s="62"/>
      <c r="J86" s="62"/>
      <c r="K86" s="48">
        <f t="shared" si="10"/>
        <v>0</v>
      </c>
      <c r="L86" s="49">
        <f t="shared" si="11"/>
        <v>0</v>
      </c>
      <c r="M86" s="47">
        <f t="shared" si="12"/>
        <v>0</v>
      </c>
      <c r="N86" s="47">
        <f t="shared" si="13"/>
        <v>0</v>
      </c>
      <c r="O86" s="47">
        <f t="shared" si="14"/>
        <v>0</v>
      </c>
      <c r="P86" s="48">
        <f t="shared" si="15"/>
        <v>0</v>
      </c>
    </row>
    <row r="87" spans="1:16" x14ac:dyDescent="0.2">
      <c r="A87" s="38">
        <v>3</v>
      </c>
      <c r="B87" s="39"/>
      <c r="C87" s="93" t="s">
        <v>377</v>
      </c>
      <c r="D87" s="25" t="s">
        <v>68</v>
      </c>
      <c r="E87" s="98">
        <v>1</v>
      </c>
      <c r="F87" s="65"/>
      <c r="G87" s="62"/>
      <c r="H87" s="47">
        <f t="shared" si="17"/>
        <v>0</v>
      </c>
      <c r="I87" s="62"/>
      <c r="J87" s="62"/>
      <c r="K87" s="48">
        <f t="shared" si="10"/>
        <v>0</v>
      </c>
      <c r="L87" s="49">
        <f t="shared" si="11"/>
        <v>0</v>
      </c>
      <c r="M87" s="47">
        <f t="shared" si="12"/>
        <v>0</v>
      </c>
      <c r="N87" s="47">
        <f t="shared" si="13"/>
        <v>0</v>
      </c>
      <c r="O87" s="47">
        <f t="shared" si="14"/>
        <v>0</v>
      </c>
      <c r="P87" s="48">
        <f t="shared" si="15"/>
        <v>0</v>
      </c>
    </row>
    <row r="88" spans="1:16" x14ac:dyDescent="0.2">
      <c r="A88" s="38">
        <v>4</v>
      </c>
      <c r="B88" s="39"/>
      <c r="C88" s="93" t="s">
        <v>378</v>
      </c>
      <c r="D88" s="25" t="s">
        <v>68</v>
      </c>
      <c r="E88" s="98">
        <v>1</v>
      </c>
      <c r="F88" s="65"/>
      <c r="G88" s="62"/>
      <c r="H88" s="47">
        <f t="shared" si="17"/>
        <v>0</v>
      </c>
      <c r="I88" s="62"/>
      <c r="J88" s="62"/>
      <c r="K88" s="48">
        <f t="shared" si="10"/>
        <v>0</v>
      </c>
      <c r="L88" s="49">
        <f t="shared" si="11"/>
        <v>0</v>
      </c>
      <c r="M88" s="47">
        <f t="shared" si="12"/>
        <v>0</v>
      </c>
      <c r="N88" s="47">
        <f t="shared" si="13"/>
        <v>0</v>
      </c>
      <c r="O88" s="47">
        <f t="shared" si="14"/>
        <v>0</v>
      </c>
      <c r="P88" s="48">
        <f t="shared" si="15"/>
        <v>0</v>
      </c>
    </row>
    <row r="89" spans="1:16" ht="45" x14ac:dyDescent="0.2">
      <c r="A89" s="38">
        <v>5</v>
      </c>
      <c r="B89" s="39"/>
      <c r="C89" s="93" t="s">
        <v>379</v>
      </c>
      <c r="D89" s="25" t="s">
        <v>68</v>
      </c>
      <c r="E89" s="98">
        <v>1</v>
      </c>
      <c r="F89" s="65"/>
      <c r="G89" s="62"/>
      <c r="H89" s="47">
        <f t="shared" si="17"/>
        <v>0</v>
      </c>
      <c r="I89" s="62"/>
      <c r="J89" s="62"/>
      <c r="K89" s="48">
        <f t="shared" si="10"/>
        <v>0</v>
      </c>
      <c r="L89" s="49">
        <f t="shared" si="11"/>
        <v>0</v>
      </c>
      <c r="M89" s="47">
        <f t="shared" si="12"/>
        <v>0</v>
      </c>
      <c r="N89" s="47">
        <f t="shared" si="13"/>
        <v>0</v>
      </c>
      <c r="O89" s="47">
        <f t="shared" si="14"/>
        <v>0</v>
      </c>
      <c r="P89" s="48">
        <f t="shared" si="15"/>
        <v>0</v>
      </c>
    </row>
    <row r="90" spans="1:16" ht="45" x14ac:dyDescent="0.2">
      <c r="A90" s="38">
        <v>6</v>
      </c>
      <c r="B90" s="39"/>
      <c r="C90" s="93" t="s">
        <v>380</v>
      </c>
      <c r="D90" s="25" t="s">
        <v>68</v>
      </c>
      <c r="E90" s="98">
        <v>36</v>
      </c>
      <c r="F90" s="65"/>
      <c r="G90" s="62"/>
      <c r="H90" s="47">
        <f t="shared" si="17"/>
        <v>0</v>
      </c>
      <c r="I90" s="62"/>
      <c r="J90" s="62"/>
      <c r="K90" s="48">
        <f t="shared" si="10"/>
        <v>0</v>
      </c>
      <c r="L90" s="49">
        <f t="shared" si="11"/>
        <v>0</v>
      </c>
      <c r="M90" s="47">
        <f t="shared" si="12"/>
        <v>0</v>
      </c>
      <c r="N90" s="47">
        <f t="shared" si="13"/>
        <v>0</v>
      </c>
      <c r="O90" s="47">
        <f t="shared" si="14"/>
        <v>0</v>
      </c>
      <c r="P90" s="48">
        <f t="shared" si="15"/>
        <v>0</v>
      </c>
    </row>
    <row r="91" spans="1:16" ht="56.25" x14ac:dyDescent="0.2">
      <c r="A91" s="38">
        <v>7</v>
      </c>
      <c r="B91" s="39"/>
      <c r="C91" s="93" t="s">
        <v>381</v>
      </c>
      <c r="D91" s="25" t="s">
        <v>382</v>
      </c>
      <c r="E91" s="98">
        <v>45</v>
      </c>
      <c r="F91" s="65"/>
      <c r="G91" s="62"/>
      <c r="H91" s="47">
        <f t="shared" si="17"/>
        <v>0</v>
      </c>
      <c r="I91" s="62"/>
      <c r="J91" s="62"/>
      <c r="K91" s="48">
        <f t="shared" si="10"/>
        <v>0</v>
      </c>
      <c r="L91" s="49">
        <f t="shared" si="11"/>
        <v>0</v>
      </c>
      <c r="M91" s="47">
        <f t="shared" si="12"/>
        <v>0</v>
      </c>
      <c r="N91" s="47">
        <f t="shared" si="13"/>
        <v>0</v>
      </c>
      <c r="O91" s="47">
        <f t="shared" si="14"/>
        <v>0</v>
      </c>
      <c r="P91" s="48">
        <f t="shared" si="15"/>
        <v>0</v>
      </c>
    </row>
    <row r="92" spans="1:16" x14ac:dyDescent="0.2">
      <c r="A92" s="38">
        <v>8</v>
      </c>
      <c r="B92" s="39"/>
      <c r="C92" s="93" t="s">
        <v>383</v>
      </c>
      <c r="D92" s="25" t="s">
        <v>384</v>
      </c>
      <c r="E92" s="98">
        <v>1</v>
      </c>
      <c r="F92" s="65"/>
      <c r="G92" s="62"/>
      <c r="H92" s="47">
        <f t="shared" si="17"/>
        <v>0</v>
      </c>
      <c r="I92" s="62"/>
      <c r="J92" s="62"/>
      <c r="K92" s="48">
        <f t="shared" si="10"/>
        <v>0</v>
      </c>
      <c r="L92" s="49">
        <f t="shared" si="11"/>
        <v>0</v>
      </c>
      <c r="M92" s="47">
        <f t="shared" si="12"/>
        <v>0</v>
      </c>
      <c r="N92" s="47">
        <f t="shared" si="13"/>
        <v>0</v>
      </c>
      <c r="O92" s="47">
        <f t="shared" si="14"/>
        <v>0</v>
      </c>
      <c r="P92" s="48">
        <f t="shared" si="15"/>
        <v>0</v>
      </c>
    </row>
    <row r="93" spans="1:16" x14ac:dyDescent="0.2">
      <c r="A93" s="38">
        <v>9</v>
      </c>
      <c r="B93" s="39"/>
      <c r="C93" s="93" t="s">
        <v>385</v>
      </c>
      <c r="D93" s="25" t="s">
        <v>384</v>
      </c>
      <c r="E93" s="98">
        <v>1</v>
      </c>
      <c r="F93" s="65"/>
      <c r="G93" s="62"/>
      <c r="H93" s="47">
        <f t="shared" si="17"/>
        <v>0</v>
      </c>
      <c r="I93" s="62"/>
      <c r="J93" s="62"/>
      <c r="K93" s="48">
        <f t="shared" si="10"/>
        <v>0</v>
      </c>
      <c r="L93" s="49">
        <f t="shared" si="11"/>
        <v>0</v>
      </c>
      <c r="M93" s="47">
        <f t="shared" si="12"/>
        <v>0</v>
      </c>
      <c r="N93" s="47">
        <f t="shared" si="13"/>
        <v>0</v>
      </c>
      <c r="O93" s="47">
        <f t="shared" si="14"/>
        <v>0</v>
      </c>
      <c r="P93" s="48">
        <f t="shared" si="15"/>
        <v>0</v>
      </c>
    </row>
    <row r="94" spans="1:16" x14ac:dyDescent="0.2">
      <c r="A94" s="94">
        <v>5</v>
      </c>
      <c r="B94" s="95"/>
      <c r="C94" s="96" t="s">
        <v>210</v>
      </c>
      <c r="D94" s="25"/>
      <c r="E94" s="98"/>
      <c r="F94" s="65"/>
      <c r="G94" s="62"/>
      <c r="H94" s="47"/>
      <c r="I94" s="62"/>
      <c r="J94" s="62"/>
      <c r="K94" s="48">
        <f t="shared" si="10"/>
        <v>0</v>
      </c>
      <c r="L94" s="49">
        <f t="shared" si="11"/>
        <v>0</v>
      </c>
      <c r="M94" s="47">
        <f t="shared" si="12"/>
        <v>0</v>
      </c>
      <c r="N94" s="47">
        <f t="shared" si="13"/>
        <v>0</v>
      </c>
      <c r="O94" s="47">
        <f t="shared" si="14"/>
        <v>0</v>
      </c>
      <c r="P94" s="48">
        <f t="shared" si="15"/>
        <v>0</v>
      </c>
    </row>
    <row r="95" spans="1:16" ht="12" thickBot="1" x14ac:dyDescent="0.25">
      <c r="A95" s="38">
        <v>1</v>
      </c>
      <c r="B95" s="39"/>
      <c r="C95" s="93" t="s">
        <v>386</v>
      </c>
      <c r="D95" s="25" t="s">
        <v>68</v>
      </c>
      <c r="E95" s="98">
        <v>1</v>
      </c>
      <c r="F95" s="65"/>
      <c r="G95" s="62"/>
      <c r="H95" s="47">
        <f t="shared" ref="H95" si="18">ROUND(F95*G95,2)</f>
        <v>0</v>
      </c>
      <c r="I95" s="62"/>
      <c r="J95" s="62"/>
      <c r="K95" s="48">
        <f t="shared" si="10"/>
        <v>0</v>
      </c>
      <c r="L95" s="49">
        <f t="shared" si="11"/>
        <v>0</v>
      </c>
      <c r="M95" s="47">
        <f t="shared" si="12"/>
        <v>0</v>
      </c>
      <c r="N95" s="47">
        <f t="shared" si="13"/>
        <v>0</v>
      </c>
      <c r="O95" s="47">
        <f t="shared" si="14"/>
        <v>0</v>
      </c>
      <c r="P95" s="48">
        <f t="shared" si="15"/>
        <v>0</v>
      </c>
    </row>
    <row r="96" spans="1:16" ht="12" customHeight="1" thickBot="1" x14ac:dyDescent="0.25">
      <c r="A96" s="156" t="s">
        <v>88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8"/>
      <c r="L96" s="66">
        <f>SUM(L14:L95)</f>
        <v>0</v>
      </c>
      <c r="M96" s="67">
        <f>SUM(M14:M95)</f>
        <v>0</v>
      </c>
      <c r="N96" s="67">
        <f>SUM(N14:N95)</f>
        <v>0</v>
      </c>
      <c r="O96" s="67">
        <f>SUM(O14:O95)</f>
        <v>0</v>
      </c>
      <c r="P96" s="68">
        <f>SUM(P14:P95)</f>
        <v>0</v>
      </c>
    </row>
    <row r="97" spans="1:16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1.1" customHeight="1" x14ac:dyDescent="0.2">
      <c r="A99" s="1" t="s">
        <v>17</v>
      </c>
      <c r="B99" s="17"/>
      <c r="C99" s="107"/>
      <c r="D99" s="107"/>
      <c r="E99" s="107"/>
      <c r="F99" s="107"/>
      <c r="G99" s="107"/>
      <c r="H99" s="107"/>
      <c r="I99" s="17"/>
      <c r="J99" s="17"/>
      <c r="K99" s="17"/>
      <c r="L99" s="17"/>
      <c r="M99" s="17"/>
      <c r="N99" s="17"/>
      <c r="O99" s="17"/>
      <c r="P99" s="17"/>
    </row>
    <row r="100" spans="1:16" ht="11.1" customHeight="1" x14ac:dyDescent="0.2">
      <c r="A100" s="17"/>
      <c r="B100" s="17"/>
      <c r="C100" s="108" t="s">
        <v>18</v>
      </c>
      <c r="D100" s="108"/>
      <c r="E100" s="108"/>
      <c r="F100" s="108"/>
      <c r="G100" s="108"/>
      <c r="H100" s="108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">
      <c r="A103" s="1" t="s">
        <v>19</v>
      </c>
      <c r="B103" s="17"/>
      <c r="C103" s="107"/>
      <c r="D103" s="107"/>
      <c r="E103" s="107"/>
      <c r="F103" s="107"/>
      <c r="G103" s="107"/>
      <c r="H103" s="107"/>
      <c r="I103" s="17"/>
      <c r="J103" s="17"/>
      <c r="K103" s="17"/>
      <c r="L103" s="17"/>
      <c r="M103" s="17"/>
      <c r="N103" s="17"/>
      <c r="O103" s="17"/>
      <c r="P103" s="17"/>
    </row>
    <row r="104" spans="1:16" ht="11.1" customHeight="1" x14ac:dyDescent="0.2">
      <c r="A104" s="17"/>
      <c r="B104" s="17"/>
      <c r="C104" s="108" t="s">
        <v>18</v>
      </c>
      <c r="D104" s="108"/>
      <c r="E104" s="108"/>
      <c r="F104" s="108"/>
      <c r="G104" s="108"/>
      <c r="H104" s="108"/>
      <c r="I104" s="17"/>
      <c r="J104" s="17"/>
      <c r="K104" s="17"/>
      <c r="L104" s="17"/>
      <c r="M104" s="17"/>
      <c r="N104" s="17"/>
      <c r="O104" s="17"/>
      <c r="P104" s="17"/>
    </row>
    <row r="105" spans="1:16" ht="11.1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85" t="s">
        <v>20</v>
      </c>
      <c r="B106" s="86"/>
      <c r="C106" s="90"/>
      <c r="D106" s="86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"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I108" s="17"/>
      <c r="J108" s="17"/>
      <c r="K108" s="17"/>
      <c r="L108" s="17"/>
      <c r="M108" s="17"/>
      <c r="N108" s="17"/>
      <c r="O108" s="17"/>
      <c r="P108" s="17"/>
    </row>
  </sheetData>
  <mergeCells count="22">
    <mergeCell ref="C2:I2"/>
    <mergeCell ref="C3:I3"/>
    <mergeCell ref="D5:L5"/>
    <mergeCell ref="D6:L6"/>
    <mergeCell ref="D7:L7"/>
    <mergeCell ref="C4:I4"/>
    <mergeCell ref="C100:H100"/>
    <mergeCell ref="C104:H104"/>
    <mergeCell ref="C103:H103"/>
    <mergeCell ref="N9:O9"/>
    <mergeCell ref="C12:C13"/>
    <mergeCell ref="D12:D13"/>
    <mergeCell ref="E12:E13"/>
    <mergeCell ref="L12:P12"/>
    <mergeCell ref="A9:I9"/>
    <mergeCell ref="F12:K12"/>
    <mergeCell ref="J9:M9"/>
    <mergeCell ref="D8:L8"/>
    <mergeCell ref="A96:K96"/>
    <mergeCell ref="A12:A13"/>
    <mergeCell ref="B12:B13"/>
    <mergeCell ref="C99:H99"/>
  </mergeCells>
  <conditionalFormatting sqref="I14:J95 A14:G95">
    <cfRule type="cellIs" dxfId="77" priority="36" operator="equal">
      <formula>0</formula>
    </cfRule>
  </conditionalFormatting>
  <conditionalFormatting sqref="N9:O9 K14:P95 H14:H95">
    <cfRule type="cellIs" dxfId="76" priority="35" operator="equal">
      <formula>0</formula>
    </cfRule>
  </conditionalFormatting>
  <conditionalFormatting sqref="C2:I2">
    <cfRule type="cellIs" dxfId="75" priority="32" operator="equal">
      <formula>0</formula>
    </cfRule>
  </conditionalFormatting>
  <conditionalFormatting sqref="O10">
    <cfRule type="cellIs" dxfId="74" priority="31" operator="equal">
      <formula>"20__. gada __. _________"</formula>
    </cfRule>
  </conditionalFormatting>
  <conditionalFormatting sqref="L96:P96">
    <cfRule type="cellIs" dxfId="73" priority="25" operator="equal">
      <formula>0</formula>
    </cfRule>
  </conditionalFormatting>
  <conditionalFormatting sqref="C4:I4">
    <cfRule type="cellIs" dxfId="72" priority="24" operator="equal">
      <formula>0</formula>
    </cfRule>
  </conditionalFormatting>
  <conditionalFormatting sqref="D5:L8">
    <cfRule type="cellIs" dxfId="71" priority="20" operator="equal">
      <formula>0</formula>
    </cfRule>
  </conditionalFormatting>
  <conditionalFormatting sqref="P10">
    <cfRule type="cellIs" dxfId="70" priority="16" operator="equal">
      <formula>"20__. gada __. _________"</formula>
    </cfRule>
  </conditionalFormatting>
  <conditionalFormatting sqref="D1">
    <cfRule type="cellIs" dxfId="69" priority="10" operator="equal">
      <formula>0</formula>
    </cfRule>
  </conditionalFormatting>
  <conditionalFormatting sqref="A9">
    <cfRule type="containsText" dxfId="68" priority="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96:K96">
    <cfRule type="containsText" dxfId="67" priority="5" operator="containsText" text="Tiešās izmaksas kopā, t. sk. darba devēja sociālais nodoklis __.__% ">
      <formula>NOT(ISERROR(SEARCH("Tiešās izmaksas kopā, t. sk. darba devēja sociālais nodoklis __.__% ",A96)))</formula>
    </cfRule>
  </conditionalFormatting>
  <conditionalFormatting sqref="C103:H103">
    <cfRule type="cellIs" dxfId="66" priority="4" operator="equal">
      <formula>0</formula>
    </cfRule>
  </conditionalFormatting>
  <conditionalFormatting sqref="C99:H99">
    <cfRule type="cellIs" dxfId="65" priority="3" operator="equal">
      <formula>0</formula>
    </cfRule>
  </conditionalFormatting>
  <conditionalFormatting sqref="C106">
    <cfRule type="cellIs" dxfId="6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6BD12BC1-9B9F-5041-9534-E78911B28457}">
            <xm:f>NOT(ISERROR(SEARCH("Sertifikāta Nr. _________________________________",A106)))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2D050"/>
  </sheetPr>
  <dimension ref="A1:V102"/>
  <sheetViews>
    <sheetView workbookViewId="0">
      <selection activeCell="I14" sqref="I14:J89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42</v>
      </c>
      <c r="D1" s="50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387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1" t="s">
        <v>22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61"/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7</v>
      </c>
      <c r="D6" s="173" t="str">
        <f>'Kops a'!D7</f>
        <v>Daudzdzīvokļu dzīvojamās mājas, Dakteru ielā 24, Smiltenē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9</v>
      </c>
      <c r="D7" s="173" t="str">
        <f>'Kops a'!D8</f>
        <v>Dakteru iela 24, Smiltene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25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44</v>
      </c>
      <c r="B9" s="159"/>
      <c r="C9" s="159"/>
      <c r="D9" s="159"/>
      <c r="E9" s="159"/>
      <c r="F9" s="159"/>
      <c r="G9" s="159"/>
      <c r="H9" s="159"/>
      <c r="I9" s="159"/>
      <c r="J9" s="165" t="s">
        <v>45</v>
      </c>
      <c r="K9" s="165"/>
      <c r="L9" s="165"/>
      <c r="M9" s="165"/>
      <c r="N9" s="172">
        <f>P90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>
        <f>A96</f>
        <v>0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9" t="s">
        <v>28</v>
      </c>
      <c r="B12" s="167" t="s">
        <v>46</v>
      </c>
      <c r="C12" s="163" t="s">
        <v>47</v>
      </c>
      <c r="D12" s="170" t="s">
        <v>48</v>
      </c>
      <c r="E12" s="154" t="s">
        <v>49</v>
      </c>
      <c r="F12" s="162" t="s">
        <v>50</v>
      </c>
      <c r="G12" s="163"/>
      <c r="H12" s="163"/>
      <c r="I12" s="163"/>
      <c r="J12" s="163"/>
      <c r="K12" s="164"/>
      <c r="L12" s="162" t="s">
        <v>51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5"/>
      <c r="F13" s="36" t="s">
        <v>52</v>
      </c>
      <c r="G13" s="37" t="s">
        <v>53</v>
      </c>
      <c r="H13" s="37" t="s">
        <v>54</v>
      </c>
      <c r="I13" s="37" t="s">
        <v>55</v>
      </c>
      <c r="J13" s="37" t="s">
        <v>56</v>
      </c>
      <c r="K13" s="61" t="s">
        <v>57</v>
      </c>
      <c r="L13" s="36" t="s">
        <v>52</v>
      </c>
      <c r="M13" s="37" t="s">
        <v>54</v>
      </c>
      <c r="N13" s="37" t="s">
        <v>55</v>
      </c>
      <c r="O13" s="37" t="s">
        <v>56</v>
      </c>
      <c r="P13" s="61" t="s">
        <v>57</v>
      </c>
    </row>
    <row r="14" spans="1:16" x14ac:dyDescent="0.2">
      <c r="A14" s="94">
        <v>1</v>
      </c>
      <c r="B14" s="95"/>
      <c r="C14" s="96" t="s">
        <v>58</v>
      </c>
      <c r="D14" s="25"/>
      <c r="E14" s="98"/>
      <c r="F14" s="65"/>
      <c r="G14" s="62"/>
      <c r="H14" s="47"/>
      <c r="I14" s="62"/>
      <c r="J14" s="62"/>
      <c r="K14" s="63">
        <f>SUM(H14:J14)</f>
        <v>0</v>
      </c>
      <c r="L14" s="65">
        <f>ROUND(E14*F14,2)</f>
        <v>0</v>
      </c>
      <c r="M14" s="62">
        <f>ROUND(H14*E14,2)</f>
        <v>0</v>
      </c>
      <c r="N14" s="62">
        <f>ROUND(I14*E14,2)</f>
        <v>0</v>
      </c>
      <c r="O14" s="62">
        <f>ROUND(J14*E14,2)</f>
        <v>0</v>
      </c>
      <c r="P14" s="63">
        <f>SUM(M14:O14)</f>
        <v>0</v>
      </c>
    </row>
    <row r="15" spans="1:16" x14ac:dyDescent="0.2">
      <c r="A15" s="38">
        <v>1</v>
      </c>
      <c r="B15" s="39"/>
      <c r="C15" s="93" t="s">
        <v>388</v>
      </c>
      <c r="D15" s="25" t="s">
        <v>68</v>
      </c>
      <c r="E15" s="98">
        <v>1</v>
      </c>
      <c r="F15" s="65"/>
      <c r="G15" s="62"/>
      <c r="H15" s="47">
        <f t="shared" ref="H15" si="0">ROUND(F15*G15,2)</f>
        <v>0</v>
      </c>
      <c r="I15" s="62"/>
      <c r="J15" s="62"/>
      <c r="K15" s="48">
        <f t="shared" ref="K15:K76" si="1">SUM(H15:J15)</f>
        <v>0</v>
      </c>
      <c r="L15" s="49">
        <f t="shared" ref="L15:L76" si="2">ROUND(E15*F15,2)</f>
        <v>0</v>
      </c>
      <c r="M15" s="47">
        <f t="shared" ref="M15:M76" si="3">ROUND(H15*E15,2)</f>
        <v>0</v>
      </c>
      <c r="N15" s="47">
        <f t="shared" ref="N15:N76" si="4">ROUND(I15*E15,2)</f>
        <v>0</v>
      </c>
      <c r="O15" s="47">
        <f t="shared" ref="O15:O76" si="5">ROUND(J15*E15,2)</f>
        <v>0</v>
      </c>
      <c r="P15" s="48">
        <f t="shared" ref="P15:P76" si="6">SUM(M15:O15)</f>
        <v>0</v>
      </c>
    </row>
    <row r="16" spans="1:16" x14ac:dyDescent="0.2">
      <c r="A16" s="94">
        <v>2</v>
      </c>
      <c r="B16" s="95"/>
      <c r="C16" s="96" t="s">
        <v>306</v>
      </c>
      <c r="D16" s="25"/>
      <c r="E16" s="98"/>
      <c r="F16" s="65"/>
      <c r="G16" s="62"/>
      <c r="H16" s="47"/>
      <c r="I16" s="62"/>
      <c r="J16" s="62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22.5" x14ac:dyDescent="0.2">
      <c r="A17" s="38">
        <v>1</v>
      </c>
      <c r="B17" s="39"/>
      <c r="C17" s="93" t="s">
        <v>389</v>
      </c>
      <c r="D17" s="25" t="s">
        <v>82</v>
      </c>
      <c r="E17" s="98">
        <v>552</v>
      </c>
      <c r="F17" s="65"/>
      <c r="G17" s="62"/>
      <c r="H17" s="47">
        <f t="shared" ref="H17:H80" si="7">ROUND(F17*G17,2)</f>
        <v>0</v>
      </c>
      <c r="I17" s="62"/>
      <c r="J17" s="62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2.5" x14ac:dyDescent="0.2">
      <c r="A18" s="38">
        <v>2</v>
      </c>
      <c r="B18" s="39"/>
      <c r="C18" s="93" t="s">
        <v>390</v>
      </c>
      <c r="D18" s="25" t="s">
        <v>82</v>
      </c>
      <c r="E18" s="98">
        <v>1234</v>
      </c>
      <c r="F18" s="65"/>
      <c r="G18" s="62"/>
      <c r="H18" s="47">
        <f t="shared" si="7"/>
        <v>0</v>
      </c>
      <c r="I18" s="62"/>
      <c r="J18" s="62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3</v>
      </c>
      <c r="B19" s="39"/>
      <c r="C19" s="93" t="s">
        <v>391</v>
      </c>
      <c r="D19" s="25" t="s">
        <v>82</v>
      </c>
      <c r="E19" s="98">
        <v>165</v>
      </c>
      <c r="F19" s="65"/>
      <c r="G19" s="62"/>
      <c r="H19" s="47">
        <f t="shared" si="7"/>
        <v>0</v>
      </c>
      <c r="I19" s="62"/>
      <c r="J19" s="62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2.5" x14ac:dyDescent="0.2">
      <c r="A20" s="38">
        <v>4</v>
      </c>
      <c r="B20" s="39"/>
      <c r="C20" s="93" t="s">
        <v>392</v>
      </c>
      <c r="D20" s="25" t="s">
        <v>82</v>
      </c>
      <c r="E20" s="98">
        <v>50</v>
      </c>
      <c r="F20" s="65"/>
      <c r="G20" s="62"/>
      <c r="H20" s="47">
        <f t="shared" si="7"/>
        <v>0</v>
      </c>
      <c r="I20" s="62"/>
      <c r="J20" s="62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2.5" x14ac:dyDescent="0.2">
      <c r="A21" s="38">
        <v>5</v>
      </c>
      <c r="B21" s="39"/>
      <c r="C21" s="93" t="s">
        <v>393</v>
      </c>
      <c r="D21" s="25" t="s">
        <v>82</v>
      </c>
      <c r="E21" s="98">
        <v>152</v>
      </c>
      <c r="F21" s="65"/>
      <c r="G21" s="62"/>
      <c r="H21" s="47">
        <f t="shared" si="7"/>
        <v>0</v>
      </c>
      <c r="I21" s="62"/>
      <c r="J21" s="62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2.5" x14ac:dyDescent="0.2">
      <c r="A22" s="38">
        <v>6</v>
      </c>
      <c r="B22" s="39"/>
      <c r="C22" s="93" t="s">
        <v>394</v>
      </c>
      <c r="D22" s="25" t="s">
        <v>82</v>
      </c>
      <c r="E22" s="98">
        <v>21</v>
      </c>
      <c r="F22" s="65"/>
      <c r="G22" s="62"/>
      <c r="H22" s="47">
        <f t="shared" si="7"/>
        <v>0</v>
      </c>
      <c r="I22" s="62"/>
      <c r="J22" s="62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2.5" x14ac:dyDescent="0.2">
      <c r="A23" s="38">
        <v>7</v>
      </c>
      <c r="B23" s="39"/>
      <c r="C23" s="93" t="s">
        <v>395</v>
      </c>
      <c r="D23" s="25" t="s">
        <v>82</v>
      </c>
      <c r="E23" s="98">
        <v>6</v>
      </c>
      <c r="F23" s="65"/>
      <c r="G23" s="62"/>
      <c r="H23" s="47">
        <f t="shared" si="7"/>
        <v>0</v>
      </c>
      <c r="I23" s="62"/>
      <c r="J23" s="62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2.5" x14ac:dyDescent="0.2">
      <c r="A24" s="38">
        <v>8</v>
      </c>
      <c r="B24" s="39"/>
      <c r="C24" s="93" t="s">
        <v>396</v>
      </c>
      <c r="D24" s="25" t="s">
        <v>82</v>
      </c>
      <c r="E24" s="98">
        <v>4</v>
      </c>
      <c r="F24" s="65"/>
      <c r="G24" s="62"/>
      <c r="H24" s="47">
        <f t="shared" si="7"/>
        <v>0</v>
      </c>
      <c r="I24" s="62"/>
      <c r="J24" s="62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2.5" x14ac:dyDescent="0.2">
      <c r="A25" s="38">
        <v>9</v>
      </c>
      <c r="B25" s="39"/>
      <c r="C25" s="93" t="s">
        <v>397</v>
      </c>
      <c r="D25" s="25" t="s">
        <v>95</v>
      </c>
      <c r="E25" s="98">
        <v>660</v>
      </c>
      <c r="F25" s="65"/>
      <c r="G25" s="62"/>
      <c r="H25" s="47">
        <f t="shared" si="7"/>
        <v>0</v>
      </c>
      <c r="I25" s="62"/>
      <c r="J25" s="62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2.5" x14ac:dyDescent="0.2">
      <c r="A26" s="38">
        <v>10</v>
      </c>
      <c r="B26" s="39"/>
      <c r="C26" s="93" t="s">
        <v>398</v>
      </c>
      <c r="D26" s="25" t="s">
        <v>95</v>
      </c>
      <c r="E26" s="98">
        <v>8</v>
      </c>
      <c r="F26" s="65"/>
      <c r="G26" s="62"/>
      <c r="H26" s="47">
        <f t="shared" si="7"/>
        <v>0</v>
      </c>
      <c r="I26" s="62"/>
      <c r="J26" s="62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2.5" x14ac:dyDescent="0.2">
      <c r="A27" s="38">
        <v>11</v>
      </c>
      <c r="B27" s="39"/>
      <c r="C27" s="93" t="s">
        <v>399</v>
      </c>
      <c r="D27" s="25" t="s">
        <v>95</v>
      </c>
      <c r="E27" s="98">
        <v>18</v>
      </c>
      <c r="F27" s="65"/>
      <c r="G27" s="62"/>
      <c r="H27" s="47">
        <f t="shared" si="7"/>
        <v>0</v>
      </c>
      <c r="I27" s="62"/>
      <c r="J27" s="62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2.5" x14ac:dyDescent="0.2">
      <c r="A28" s="38">
        <v>12</v>
      </c>
      <c r="B28" s="39"/>
      <c r="C28" s="93" t="s">
        <v>400</v>
      </c>
      <c r="D28" s="25" t="s">
        <v>95</v>
      </c>
      <c r="E28" s="98">
        <v>16</v>
      </c>
      <c r="F28" s="65"/>
      <c r="G28" s="62"/>
      <c r="H28" s="47">
        <f t="shared" si="7"/>
        <v>0</v>
      </c>
      <c r="I28" s="62"/>
      <c r="J28" s="62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2.5" x14ac:dyDescent="0.2">
      <c r="A29" s="38">
        <v>13</v>
      </c>
      <c r="B29" s="39"/>
      <c r="C29" s="93" t="s">
        <v>401</v>
      </c>
      <c r="D29" s="25" t="s">
        <v>95</v>
      </c>
      <c r="E29" s="98">
        <v>34</v>
      </c>
      <c r="F29" s="65"/>
      <c r="G29" s="62"/>
      <c r="H29" s="47">
        <f t="shared" si="7"/>
        <v>0</v>
      </c>
      <c r="I29" s="62"/>
      <c r="J29" s="62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2.5" x14ac:dyDescent="0.2">
      <c r="A30" s="38">
        <v>14</v>
      </c>
      <c r="B30" s="39"/>
      <c r="C30" s="93" t="s">
        <v>402</v>
      </c>
      <c r="D30" s="25" t="s">
        <v>95</v>
      </c>
      <c r="E30" s="98">
        <v>6</v>
      </c>
      <c r="F30" s="65"/>
      <c r="G30" s="62"/>
      <c r="H30" s="47">
        <f t="shared" si="7"/>
        <v>0</v>
      </c>
      <c r="I30" s="62"/>
      <c r="J30" s="62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2.5" x14ac:dyDescent="0.2">
      <c r="A31" s="38">
        <v>15</v>
      </c>
      <c r="B31" s="39"/>
      <c r="C31" s="93" t="s">
        <v>403</v>
      </c>
      <c r="D31" s="25" t="s">
        <v>95</v>
      </c>
      <c r="E31" s="98">
        <v>8</v>
      </c>
      <c r="F31" s="65"/>
      <c r="G31" s="62"/>
      <c r="H31" s="47">
        <f t="shared" si="7"/>
        <v>0</v>
      </c>
      <c r="I31" s="62"/>
      <c r="J31" s="62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2.5" x14ac:dyDescent="0.2">
      <c r="A32" s="38">
        <v>16</v>
      </c>
      <c r="B32" s="39"/>
      <c r="C32" s="93" t="s">
        <v>404</v>
      </c>
      <c r="D32" s="25" t="s">
        <v>95</v>
      </c>
      <c r="E32" s="98">
        <v>6</v>
      </c>
      <c r="F32" s="65"/>
      <c r="G32" s="62"/>
      <c r="H32" s="47">
        <f t="shared" si="7"/>
        <v>0</v>
      </c>
      <c r="I32" s="62"/>
      <c r="J32" s="62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2.5" x14ac:dyDescent="0.2">
      <c r="A33" s="38">
        <v>17</v>
      </c>
      <c r="B33" s="39"/>
      <c r="C33" s="93" t="s">
        <v>405</v>
      </c>
      <c r="D33" s="25" t="s">
        <v>95</v>
      </c>
      <c r="E33" s="98">
        <v>24</v>
      </c>
      <c r="F33" s="65"/>
      <c r="G33" s="62"/>
      <c r="H33" s="47">
        <f t="shared" si="7"/>
        <v>0</v>
      </c>
      <c r="I33" s="62"/>
      <c r="J33" s="62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2.5" x14ac:dyDescent="0.2">
      <c r="A34" s="38">
        <v>18</v>
      </c>
      <c r="B34" s="39"/>
      <c r="C34" s="93" t="s">
        <v>406</v>
      </c>
      <c r="D34" s="25" t="s">
        <v>95</v>
      </c>
      <c r="E34" s="98">
        <v>4</v>
      </c>
      <c r="F34" s="65"/>
      <c r="G34" s="62"/>
      <c r="H34" s="47">
        <f t="shared" si="7"/>
        <v>0</v>
      </c>
      <c r="I34" s="62"/>
      <c r="J34" s="62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2.5" x14ac:dyDescent="0.2">
      <c r="A35" s="38">
        <v>19</v>
      </c>
      <c r="B35" s="39"/>
      <c r="C35" s="93" t="s">
        <v>407</v>
      </c>
      <c r="D35" s="25" t="s">
        <v>95</v>
      </c>
      <c r="E35" s="98">
        <v>4</v>
      </c>
      <c r="F35" s="65"/>
      <c r="G35" s="62"/>
      <c r="H35" s="47">
        <f t="shared" si="7"/>
        <v>0</v>
      </c>
      <c r="I35" s="62"/>
      <c r="J35" s="62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2.5" x14ac:dyDescent="0.2">
      <c r="A36" s="38">
        <v>20</v>
      </c>
      <c r="B36" s="39"/>
      <c r="C36" s="93" t="s">
        <v>408</v>
      </c>
      <c r="D36" s="25" t="s">
        <v>95</v>
      </c>
      <c r="E36" s="98">
        <v>4</v>
      </c>
      <c r="F36" s="65"/>
      <c r="G36" s="62"/>
      <c r="H36" s="47">
        <f t="shared" si="7"/>
        <v>0</v>
      </c>
      <c r="I36" s="62"/>
      <c r="J36" s="62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2.5" x14ac:dyDescent="0.2">
      <c r="A37" s="38">
        <v>21</v>
      </c>
      <c r="B37" s="39"/>
      <c r="C37" s="93" t="s">
        <v>409</v>
      </c>
      <c r="D37" s="25" t="s">
        <v>95</v>
      </c>
      <c r="E37" s="98">
        <v>14</v>
      </c>
      <c r="F37" s="65"/>
      <c r="G37" s="62"/>
      <c r="H37" s="47">
        <f t="shared" si="7"/>
        <v>0</v>
      </c>
      <c r="I37" s="62"/>
      <c r="J37" s="62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2.5" x14ac:dyDescent="0.2">
      <c r="A38" s="38">
        <v>22</v>
      </c>
      <c r="B38" s="39"/>
      <c r="C38" s="93" t="s">
        <v>410</v>
      </c>
      <c r="D38" s="25" t="s">
        <v>95</v>
      </c>
      <c r="E38" s="98">
        <v>2</v>
      </c>
      <c r="F38" s="65"/>
      <c r="G38" s="62"/>
      <c r="H38" s="47">
        <f t="shared" si="7"/>
        <v>0</v>
      </c>
      <c r="I38" s="62"/>
      <c r="J38" s="62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2.5" x14ac:dyDescent="0.2">
      <c r="A39" s="38">
        <v>23</v>
      </c>
      <c r="B39" s="39"/>
      <c r="C39" s="93" t="s">
        <v>411</v>
      </c>
      <c r="D39" s="25" t="s">
        <v>95</v>
      </c>
      <c r="E39" s="98">
        <v>2</v>
      </c>
      <c r="F39" s="65"/>
      <c r="G39" s="62"/>
      <c r="H39" s="47">
        <f t="shared" si="7"/>
        <v>0</v>
      </c>
      <c r="I39" s="62"/>
      <c r="J39" s="62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2.5" x14ac:dyDescent="0.2">
      <c r="A40" s="38">
        <v>24</v>
      </c>
      <c r="B40" s="39"/>
      <c r="C40" s="93" t="s">
        <v>412</v>
      </c>
      <c r="D40" s="25" t="s">
        <v>95</v>
      </c>
      <c r="E40" s="98">
        <v>2</v>
      </c>
      <c r="F40" s="65"/>
      <c r="G40" s="62"/>
      <c r="H40" s="47">
        <f t="shared" si="7"/>
        <v>0</v>
      </c>
      <c r="I40" s="62"/>
      <c r="J40" s="62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2.5" x14ac:dyDescent="0.2">
      <c r="A41" s="38">
        <v>25</v>
      </c>
      <c r="B41" s="39"/>
      <c r="C41" s="93" t="s">
        <v>413</v>
      </c>
      <c r="D41" s="25" t="s">
        <v>95</v>
      </c>
      <c r="E41" s="98">
        <v>2</v>
      </c>
      <c r="F41" s="65"/>
      <c r="G41" s="62"/>
      <c r="H41" s="47">
        <f t="shared" si="7"/>
        <v>0</v>
      </c>
      <c r="I41" s="62"/>
      <c r="J41" s="62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2.5" x14ac:dyDescent="0.2">
      <c r="A42" s="38">
        <v>26</v>
      </c>
      <c r="B42" s="39"/>
      <c r="C42" s="93" t="s">
        <v>414</v>
      </c>
      <c r="D42" s="25" t="s">
        <v>95</v>
      </c>
      <c r="E42" s="98">
        <v>2</v>
      </c>
      <c r="F42" s="65"/>
      <c r="G42" s="62"/>
      <c r="H42" s="47">
        <f t="shared" si="7"/>
        <v>0</v>
      </c>
      <c r="I42" s="62"/>
      <c r="J42" s="62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2.5" x14ac:dyDescent="0.2">
      <c r="A43" s="38">
        <v>27</v>
      </c>
      <c r="B43" s="39"/>
      <c r="C43" s="93" t="s">
        <v>415</v>
      </c>
      <c r="D43" s="25" t="s">
        <v>95</v>
      </c>
      <c r="E43" s="98">
        <v>24</v>
      </c>
      <c r="F43" s="65"/>
      <c r="G43" s="62"/>
      <c r="H43" s="47">
        <f t="shared" si="7"/>
        <v>0</v>
      </c>
      <c r="I43" s="62"/>
      <c r="J43" s="62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2.5" x14ac:dyDescent="0.2">
      <c r="A44" s="38">
        <v>28</v>
      </c>
      <c r="B44" s="39"/>
      <c r="C44" s="93" t="s">
        <v>416</v>
      </c>
      <c r="D44" s="25" t="s">
        <v>95</v>
      </c>
      <c r="E44" s="98">
        <v>12</v>
      </c>
      <c r="F44" s="65"/>
      <c r="G44" s="62"/>
      <c r="H44" s="47">
        <f t="shared" si="7"/>
        <v>0</v>
      </c>
      <c r="I44" s="62"/>
      <c r="J44" s="62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2.5" x14ac:dyDescent="0.2">
      <c r="A45" s="38">
        <v>29</v>
      </c>
      <c r="B45" s="39"/>
      <c r="C45" s="93" t="s">
        <v>417</v>
      </c>
      <c r="D45" s="25" t="s">
        <v>95</v>
      </c>
      <c r="E45" s="98">
        <v>24</v>
      </c>
      <c r="F45" s="65"/>
      <c r="G45" s="62"/>
      <c r="H45" s="47">
        <f t="shared" si="7"/>
        <v>0</v>
      </c>
      <c r="I45" s="62"/>
      <c r="J45" s="62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2.5" x14ac:dyDescent="0.2">
      <c r="A46" s="38">
        <v>30</v>
      </c>
      <c r="B46" s="39"/>
      <c r="C46" s="93" t="s">
        <v>418</v>
      </c>
      <c r="D46" s="25" t="s">
        <v>95</v>
      </c>
      <c r="E46" s="98">
        <v>2</v>
      </c>
      <c r="F46" s="65"/>
      <c r="G46" s="62"/>
      <c r="H46" s="47">
        <f t="shared" si="7"/>
        <v>0</v>
      </c>
      <c r="I46" s="62"/>
      <c r="J46" s="62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2.5" x14ac:dyDescent="0.2">
      <c r="A47" s="38">
        <v>31</v>
      </c>
      <c r="B47" s="39"/>
      <c r="C47" s="93" t="s">
        <v>419</v>
      </c>
      <c r="D47" s="25" t="s">
        <v>95</v>
      </c>
      <c r="E47" s="98">
        <v>6</v>
      </c>
      <c r="F47" s="65"/>
      <c r="G47" s="62"/>
      <c r="H47" s="47">
        <f t="shared" si="7"/>
        <v>0</v>
      </c>
      <c r="I47" s="62"/>
      <c r="J47" s="62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22.5" x14ac:dyDescent="0.2">
      <c r="A48" s="38">
        <v>32</v>
      </c>
      <c r="B48" s="39"/>
      <c r="C48" s="93" t="s">
        <v>420</v>
      </c>
      <c r="D48" s="25" t="s">
        <v>95</v>
      </c>
      <c r="E48" s="98">
        <v>8</v>
      </c>
      <c r="F48" s="65"/>
      <c r="G48" s="62"/>
      <c r="H48" s="47">
        <f t="shared" si="7"/>
        <v>0</v>
      </c>
      <c r="I48" s="62"/>
      <c r="J48" s="62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22.5" x14ac:dyDescent="0.2">
      <c r="A49" s="38">
        <v>33</v>
      </c>
      <c r="B49" s="39"/>
      <c r="C49" s="93" t="s">
        <v>421</v>
      </c>
      <c r="D49" s="25" t="s">
        <v>95</v>
      </c>
      <c r="E49" s="98">
        <v>4</v>
      </c>
      <c r="F49" s="65"/>
      <c r="G49" s="62"/>
      <c r="H49" s="47">
        <f t="shared" si="7"/>
        <v>0</v>
      </c>
      <c r="I49" s="62"/>
      <c r="J49" s="62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22.5" x14ac:dyDescent="0.2">
      <c r="A50" s="38">
        <v>34</v>
      </c>
      <c r="B50" s="39"/>
      <c r="C50" s="93" t="s">
        <v>422</v>
      </c>
      <c r="D50" s="25" t="s">
        <v>95</v>
      </c>
      <c r="E50" s="98">
        <v>2</v>
      </c>
      <c r="F50" s="65"/>
      <c r="G50" s="62"/>
      <c r="H50" s="47">
        <f t="shared" si="7"/>
        <v>0</v>
      </c>
      <c r="I50" s="62"/>
      <c r="J50" s="62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33.75" x14ac:dyDescent="0.2">
      <c r="A51" s="38">
        <v>35</v>
      </c>
      <c r="B51" s="39"/>
      <c r="C51" s="93" t="s">
        <v>423</v>
      </c>
      <c r="D51" s="25" t="s">
        <v>95</v>
      </c>
      <c r="E51" s="98">
        <v>28</v>
      </c>
      <c r="F51" s="65"/>
      <c r="G51" s="62"/>
      <c r="H51" s="47">
        <f t="shared" si="7"/>
        <v>0</v>
      </c>
      <c r="I51" s="62"/>
      <c r="J51" s="62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ht="33.75" x14ac:dyDescent="0.2">
      <c r="A52" s="38">
        <v>36</v>
      </c>
      <c r="B52" s="39"/>
      <c r="C52" s="93" t="s">
        <v>424</v>
      </c>
      <c r="D52" s="25" t="s">
        <v>95</v>
      </c>
      <c r="E52" s="98">
        <v>18</v>
      </c>
      <c r="F52" s="65"/>
      <c r="G52" s="62"/>
      <c r="H52" s="47">
        <f t="shared" si="7"/>
        <v>0</v>
      </c>
      <c r="I52" s="62"/>
      <c r="J52" s="62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33.75" x14ac:dyDescent="0.2">
      <c r="A53" s="38">
        <v>37</v>
      </c>
      <c r="B53" s="39"/>
      <c r="C53" s="93" t="s">
        <v>425</v>
      </c>
      <c r="D53" s="25" t="s">
        <v>95</v>
      </c>
      <c r="E53" s="98">
        <v>18</v>
      </c>
      <c r="F53" s="65"/>
      <c r="G53" s="62"/>
      <c r="H53" s="47">
        <f t="shared" si="7"/>
        <v>0</v>
      </c>
      <c r="I53" s="62"/>
      <c r="J53" s="62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33.75" x14ac:dyDescent="0.2">
      <c r="A54" s="38">
        <v>38</v>
      </c>
      <c r="B54" s="39"/>
      <c r="C54" s="93" t="s">
        <v>426</v>
      </c>
      <c r="D54" s="25" t="s">
        <v>95</v>
      </c>
      <c r="E54" s="98">
        <v>18</v>
      </c>
      <c r="F54" s="65"/>
      <c r="G54" s="62"/>
      <c r="H54" s="47">
        <f t="shared" si="7"/>
        <v>0</v>
      </c>
      <c r="I54" s="62"/>
      <c r="J54" s="62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33.75" x14ac:dyDescent="0.2">
      <c r="A55" s="38">
        <v>39</v>
      </c>
      <c r="B55" s="39"/>
      <c r="C55" s="93" t="s">
        <v>427</v>
      </c>
      <c r="D55" s="25" t="s">
        <v>95</v>
      </c>
      <c r="E55" s="98">
        <v>8</v>
      </c>
      <c r="F55" s="65"/>
      <c r="G55" s="62"/>
      <c r="H55" s="47">
        <f t="shared" si="7"/>
        <v>0</v>
      </c>
      <c r="I55" s="62"/>
      <c r="J55" s="62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33.75" x14ac:dyDescent="0.2">
      <c r="A56" s="38">
        <v>40</v>
      </c>
      <c r="B56" s="39"/>
      <c r="C56" s="93" t="s">
        <v>428</v>
      </c>
      <c r="D56" s="25" t="s">
        <v>95</v>
      </c>
      <c r="E56" s="98">
        <v>10</v>
      </c>
      <c r="F56" s="65"/>
      <c r="G56" s="62"/>
      <c r="H56" s="47">
        <f t="shared" si="7"/>
        <v>0</v>
      </c>
      <c r="I56" s="62"/>
      <c r="J56" s="62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33.75" x14ac:dyDescent="0.2">
      <c r="A57" s="38">
        <v>41</v>
      </c>
      <c r="B57" s="39"/>
      <c r="C57" s="93" t="s">
        <v>429</v>
      </c>
      <c r="D57" s="25" t="s">
        <v>95</v>
      </c>
      <c r="E57" s="98">
        <v>8</v>
      </c>
      <c r="F57" s="65"/>
      <c r="G57" s="62"/>
      <c r="H57" s="47">
        <f t="shared" si="7"/>
        <v>0</v>
      </c>
      <c r="I57" s="62"/>
      <c r="J57" s="62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33.75" x14ac:dyDescent="0.2">
      <c r="A58" s="38">
        <v>42</v>
      </c>
      <c r="B58" s="39"/>
      <c r="C58" s="93" t="s">
        <v>430</v>
      </c>
      <c r="D58" s="25" t="s">
        <v>95</v>
      </c>
      <c r="E58" s="98">
        <v>3</v>
      </c>
      <c r="F58" s="65"/>
      <c r="G58" s="62"/>
      <c r="H58" s="47">
        <f t="shared" si="7"/>
        <v>0</v>
      </c>
      <c r="I58" s="62"/>
      <c r="J58" s="62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22.5" x14ac:dyDescent="0.2">
      <c r="A59" s="38">
        <v>43</v>
      </c>
      <c r="B59" s="39"/>
      <c r="C59" s="93" t="s">
        <v>431</v>
      </c>
      <c r="D59" s="25" t="s">
        <v>95</v>
      </c>
      <c r="E59" s="98">
        <f>SUM(E51:E58)</f>
        <v>111</v>
      </c>
      <c r="F59" s="65"/>
      <c r="G59" s="62"/>
      <c r="H59" s="47">
        <f>ROUND(F59*G59,2)</f>
        <v>0</v>
      </c>
      <c r="I59" s="62"/>
      <c r="J59" s="62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2.5" x14ac:dyDescent="0.2">
      <c r="A60" s="38">
        <v>44</v>
      </c>
      <c r="B60" s="39"/>
      <c r="C60" s="93" t="s">
        <v>432</v>
      </c>
      <c r="D60" s="25" t="s">
        <v>95</v>
      </c>
      <c r="E60" s="98">
        <f>E59</f>
        <v>111</v>
      </c>
      <c r="F60" s="65"/>
      <c r="G60" s="62"/>
      <c r="H60" s="47">
        <f>ROUND(F60*G60,2)</f>
        <v>0</v>
      </c>
      <c r="I60" s="62"/>
      <c r="J60" s="62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22.5" x14ac:dyDescent="0.2">
      <c r="A61" s="38">
        <v>45</v>
      </c>
      <c r="B61" s="39"/>
      <c r="C61" s="93" t="s">
        <v>433</v>
      </c>
      <c r="D61" s="25" t="s">
        <v>95</v>
      </c>
      <c r="E61" s="98">
        <v>36</v>
      </c>
      <c r="F61" s="65"/>
      <c r="G61" s="62"/>
      <c r="H61" s="47">
        <f t="shared" ref="H61:H65" si="8">ROUND(F61*G61,2)</f>
        <v>0</v>
      </c>
      <c r="I61" s="62"/>
      <c r="J61" s="62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22.5" x14ac:dyDescent="0.2">
      <c r="A62" s="38">
        <v>46</v>
      </c>
      <c r="B62" s="39"/>
      <c r="C62" s="93" t="s">
        <v>346</v>
      </c>
      <c r="D62" s="25" t="s">
        <v>95</v>
      </c>
      <c r="E62" s="98">
        <v>2</v>
      </c>
      <c r="F62" s="65"/>
      <c r="G62" s="62"/>
      <c r="H62" s="47">
        <f t="shared" si="8"/>
        <v>0</v>
      </c>
      <c r="I62" s="62"/>
      <c r="J62" s="62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22.5" x14ac:dyDescent="0.2">
      <c r="A63" s="38">
        <v>47</v>
      </c>
      <c r="B63" s="39"/>
      <c r="C63" s="93" t="s">
        <v>347</v>
      </c>
      <c r="D63" s="25" t="s">
        <v>95</v>
      </c>
      <c r="E63" s="98">
        <v>4</v>
      </c>
      <c r="F63" s="65"/>
      <c r="G63" s="62"/>
      <c r="H63" s="47">
        <f t="shared" si="8"/>
        <v>0</v>
      </c>
      <c r="I63" s="62"/>
      <c r="J63" s="62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x14ac:dyDescent="0.2">
      <c r="A64" s="38">
        <v>48</v>
      </c>
      <c r="B64" s="39"/>
      <c r="C64" s="93" t="s">
        <v>434</v>
      </c>
      <c r="D64" s="25" t="s">
        <v>95</v>
      </c>
      <c r="E64" s="98">
        <v>1</v>
      </c>
      <c r="F64" s="65"/>
      <c r="G64" s="62"/>
      <c r="H64" s="47">
        <f t="shared" si="8"/>
        <v>0</v>
      </c>
      <c r="I64" s="62"/>
      <c r="J64" s="62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22" x14ac:dyDescent="0.2">
      <c r="A65" s="38">
        <v>49</v>
      </c>
      <c r="B65" s="39"/>
      <c r="C65" s="93" t="s">
        <v>435</v>
      </c>
      <c r="D65" s="25" t="s">
        <v>95</v>
      </c>
      <c r="E65" s="98">
        <v>1</v>
      </c>
      <c r="F65" s="65"/>
      <c r="G65" s="62"/>
      <c r="H65" s="47">
        <f t="shared" si="8"/>
        <v>0</v>
      </c>
      <c r="I65" s="62"/>
      <c r="J65" s="62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22" ht="22.5" x14ac:dyDescent="0.2">
      <c r="A66" s="38">
        <v>50</v>
      </c>
      <c r="B66" s="39"/>
      <c r="C66" s="93" t="s">
        <v>436</v>
      </c>
      <c r="D66" s="25" t="s">
        <v>95</v>
      </c>
      <c r="E66" s="98">
        <v>38</v>
      </c>
      <c r="F66" s="65"/>
      <c r="G66" s="62"/>
      <c r="H66" s="47">
        <f>ROUND(F66*G66,2)</f>
        <v>0</v>
      </c>
      <c r="I66" s="62"/>
      <c r="J66" s="62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22" ht="22.5" x14ac:dyDescent="0.2">
      <c r="A67" s="38">
        <v>51</v>
      </c>
      <c r="B67" s="39"/>
      <c r="C67" s="93" t="s">
        <v>437</v>
      </c>
      <c r="D67" s="25" t="s">
        <v>95</v>
      </c>
      <c r="E67" s="98">
        <v>30</v>
      </c>
      <c r="F67" s="65"/>
      <c r="G67" s="62"/>
      <c r="H67" s="47">
        <f t="shared" ref="H67:H73" si="9">ROUND(F67*G67,2)</f>
        <v>0</v>
      </c>
      <c r="I67" s="62"/>
      <c r="J67" s="62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22" ht="45" x14ac:dyDescent="0.2">
      <c r="A68" s="38">
        <v>52</v>
      </c>
      <c r="B68" s="39"/>
      <c r="C68" s="93" t="s">
        <v>438</v>
      </c>
      <c r="D68" s="25" t="s">
        <v>82</v>
      </c>
      <c r="E68" s="98">
        <v>50</v>
      </c>
      <c r="F68" s="65"/>
      <c r="G68" s="62"/>
      <c r="H68" s="47">
        <f t="shared" si="9"/>
        <v>0</v>
      </c>
      <c r="I68" s="62"/>
      <c r="J68" s="62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  <c r="Q68" s="104"/>
      <c r="R68" s="105"/>
    </row>
    <row r="69" spans="1:22" ht="45" x14ac:dyDescent="0.2">
      <c r="A69" s="38">
        <v>53</v>
      </c>
      <c r="B69" s="39"/>
      <c r="C69" s="93" t="s">
        <v>356</v>
      </c>
      <c r="D69" s="25" t="s">
        <v>82</v>
      </c>
      <c r="E69" s="98">
        <v>66</v>
      </c>
      <c r="F69" s="65"/>
      <c r="G69" s="62"/>
      <c r="H69" s="47">
        <f t="shared" si="9"/>
        <v>0</v>
      </c>
      <c r="I69" s="62"/>
      <c r="J69" s="62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  <c r="Q69" s="104"/>
      <c r="R69" s="105"/>
    </row>
    <row r="70" spans="1:22" ht="45" customHeight="1" x14ac:dyDescent="0.2">
      <c r="A70" s="38">
        <v>54</v>
      </c>
      <c r="B70" s="39"/>
      <c r="C70" s="93" t="s">
        <v>439</v>
      </c>
      <c r="D70" s="25" t="s">
        <v>82</v>
      </c>
      <c r="E70" s="98">
        <v>50</v>
      </c>
      <c r="F70" s="65"/>
      <c r="G70" s="62"/>
      <c r="H70" s="47">
        <f t="shared" si="9"/>
        <v>0</v>
      </c>
      <c r="I70" s="62"/>
      <c r="J70" s="62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  <c r="Q70" s="104"/>
      <c r="R70" s="105"/>
      <c r="S70" s="159"/>
      <c r="T70" s="159"/>
      <c r="U70" s="159"/>
      <c r="V70" s="159"/>
    </row>
    <row r="71" spans="1:22" ht="45" x14ac:dyDescent="0.2">
      <c r="A71" s="38">
        <v>55</v>
      </c>
      <c r="B71" s="39"/>
      <c r="C71" s="93" t="s">
        <v>358</v>
      </c>
      <c r="D71" s="25" t="s">
        <v>82</v>
      </c>
      <c r="E71" s="98">
        <v>152</v>
      </c>
      <c r="F71" s="65"/>
      <c r="G71" s="62"/>
      <c r="H71" s="47">
        <f t="shared" si="9"/>
        <v>0</v>
      </c>
      <c r="I71" s="62"/>
      <c r="J71" s="62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  <c r="Q71" s="104"/>
      <c r="R71" s="105"/>
      <c r="S71" s="159"/>
      <c r="T71" s="159"/>
      <c r="U71" s="159"/>
      <c r="V71" s="159"/>
    </row>
    <row r="72" spans="1:22" ht="45" x14ac:dyDescent="0.2">
      <c r="A72" s="38">
        <v>56</v>
      </c>
      <c r="B72" s="39"/>
      <c r="C72" s="93" t="s">
        <v>359</v>
      </c>
      <c r="D72" s="25" t="s">
        <v>82</v>
      </c>
      <c r="E72" s="98">
        <v>21</v>
      </c>
      <c r="F72" s="65"/>
      <c r="G72" s="62"/>
      <c r="H72" s="47">
        <f t="shared" si="9"/>
        <v>0</v>
      </c>
      <c r="I72" s="62"/>
      <c r="J72" s="62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  <c r="Q72" s="104"/>
      <c r="R72" s="105"/>
    </row>
    <row r="73" spans="1:22" ht="45" x14ac:dyDescent="0.2">
      <c r="A73" s="38">
        <v>57</v>
      </c>
      <c r="B73" s="39"/>
      <c r="C73" s="93" t="s">
        <v>440</v>
      </c>
      <c r="D73" s="25" t="s">
        <v>82</v>
      </c>
      <c r="E73" s="98">
        <v>6</v>
      </c>
      <c r="F73" s="65"/>
      <c r="G73" s="62"/>
      <c r="H73" s="47">
        <f t="shared" si="9"/>
        <v>0</v>
      </c>
      <c r="I73" s="62"/>
      <c r="J73" s="62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  <c r="Q73" s="104"/>
      <c r="R73" s="105"/>
    </row>
    <row r="74" spans="1:22" ht="45" x14ac:dyDescent="0.2">
      <c r="A74" s="38">
        <v>58</v>
      </c>
      <c r="B74" s="39"/>
      <c r="C74" s="93" t="s">
        <v>441</v>
      </c>
      <c r="D74" s="25" t="s">
        <v>82</v>
      </c>
      <c r="E74" s="98">
        <v>4</v>
      </c>
      <c r="F74" s="65"/>
      <c r="G74" s="62"/>
      <c r="H74" s="47">
        <f t="shared" si="7"/>
        <v>0</v>
      </c>
      <c r="I74" s="62"/>
      <c r="J74" s="62"/>
      <c r="K74" s="48">
        <f t="shared" si="1"/>
        <v>0</v>
      </c>
      <c r="L74" s="49">
        <f t="shared" si="2"/>
        <v>0</v>
      </c>
      <c r="M74" s="47">
        <f t="shared" si="3"/>
        <v>0</v>
      </c>
      <c r="N74" s="47">
        <f t="shared" si="4"/>
        <v>0</v>
      </c>
      <c r="O74" s="47">
        <f t="shared" si="5"/>
        <v>0</v>
      </c>
      <c r="P74" s="48">
        <f t="shared" si="6"/>
        <v>0</v>
      </c>
      <c r="Q74" s="104"/>
      <c r="R74" s="105"/>
    </row>
    <row r="75" spans="1:22" x14ac:dyDescent="0.2">
      <c r="A75" s="38">
        <v>59</v>
      </c>
      <c r="B75" s="39"/>
      <c r="C75" s="93" t="s">
        <v>442</v>
      </c>
      <c r="D75" s="25" t="s">
        <v>85</v>
      </c>
      <c r="E75" s="98">
        <v>1</v>
      </c>
      <c r="F75" s="65"/>
      <c r="G75" s="62"/>
      <c r="H75" s="47">
        <f t="shared" si="7"/>
        <v>0</v>
      </c>
      <c r="I75" s="62"/>
      <c r="J75" s="62"/>
      <c r="K75" s="48">
        <f t="shared" si="1"/>
        <v>0</v>
      </c>
      <c r="L75" s="49">
        <f t="shared" si="2"/>
        <v>0</v>
      </c>
      <c r="M75" s="47">
        <f t="shared" si="3"/>
        <v>0</v>
      </c>
      <c r="N75" s="47">
        <f t="shared" si="4"/>
        <v>0</v>
      </c>
      <c r="O75" s="47">
        <f t="shared" si="5"/>
        <v>0</v>
      </c>
      <c r="P75" s="48">
        <f t="shared" si="6"/>
        <v>0</v>
      </c>
    </row>
    <row r="76" spans="1:22" x14ac:dyDescent="0.2">
      <c r="A76" s="38">
        <v>60</v>
      </c>
      <c r="B76" s="39"/>
      <c r="C76" s="93" t="s">
        <v>443</v>
      </c>
      <c r="D76" s="25" t="s">
        <v>85</v>
      </c>
      <c r="E76" s="98">
        <v>1</v>
      </c>
      <c r="F76" s="65"/>
      <c r="G76" s="62"/>
      <c r="H76" s="47">
        <f t="shared" si="7"/>
        <v>0</v>
      </c>
      <c r="I76" s="62"/>
      <c r="J76" s="62"/>
      <c r="K76" s="48">
        <f t="shared" si="1"/>
        <v>0</v>
      </c>
      <c r="L76" s="49">
        <f t="shared" si="2"/>
        <v>0</v>
      </c>
      <c r="M76" s="47">
        <f t="shared" si="3"/>
        <v>0</v>
      </c>
      <c r="N76" s="47">
        <f t="shared" si="4"/>
        <v>0</v>
      </c>
      <c r="O76" s="47">
        <f t="shared" si="5"/>
        <v>0</v>
      </c>
      <c r="P76" s="48">
        <f t="shared" si="6"/>
        <v>0</v>
      </c>
    </row>
    <row r="77" spans="1:22" x14ac:dyDescent="0.2">
      <c r="A77" s="38">
        <v>61</v>
      </c>
      <c r="B77" s="39"/>
      <c r="C77" s="93" t="s">
        <v>375</v>
      </c>
      <c r="D77" s="25" t="s">
        <v>85</v>
      </c>
      <c r="E77" s="98">
        <v>1</v>
      </c>
      <c r="F77" s="65"/>
      <c r="G77" s="62"/>
      <c r="H77" s="47">
        <f t="shared" si="7"/>
        <v>0</v>
      </c>
      <c r="I77" s="62"/>
      <c r="J77" s="62"/>
      <c r="K77" s="48">
        <f t="shared" ref="K77:K89" si="10">SUM(H77:J77)</f>
        <v>0</v>
      </c>
      <c r="L77" s="49">
        <f t="shared" ref="L77:L89" si="11">ROUND(E77*F77,2)</f>
        <v>0</v>
      </c>
      <c r="M77" s="47">
        <f t="shared" ref="M77:M89" si="12">ROUND(H77*E77,2)</f>
        <v>0</v>
      </c>
      <c r="N77" s="47">
        <f t="shared" ref="N77:N89" si="13">ROUND(I77*E77,2)</f>
        <v>0</v>
      </c>
      <c r="O77" s="47">
        <f t="shared" ref="O77:O89" si="14">ROUND(J77*E77,2)</f>
        <v>0</v>
      </c>
      <c r="P77" s="48">
        <f t="shared" ref="P77:P89" si="15">SUM(M77:O77)</f>
        <v>0</v>
      </c>
    </row>
    <row r="78" spans="1:22" x14ac:dyDescent="0.2">
      <c r="A78" s="38">
        <v>62</v>
      </c>
      <c r="B78" s="39"/>
      <c r="C78" s="93" t="s">
        <v>376</v>
      </c>
      <c r="D78" s="25" t="s">
        <v>85</v>
      </c>
      <c r="E78" s="98">
        <v>1</v>
      </c>
      <c r="F78" s="65"/>
      <c r="G78" s="62"/>
      <c r="H78" s="47">
        <f t="shared" si="7"/>
        <v>0</v>
      </c>
      <c r="I78" s="62"/>
      <c r="J78" s="62"/>
      <c r="K78" s="48">
        <f t="shared" si="10"/>
        <v>0</v>
      </c>
      <c r="L78" s="49">
        <f t="shared" si="11"/>
        <v>0</v>
      </c>
      <c r="M78" s="47">
        <f t="shared" si="12"/>
        <v>0</v>
      </c>
      <c r="N78" s="47">
        <f t="shared" si="13"/>
        <v>0</v>
      </c>
      <c r="O78" s="47">
        <f t="shared" si="14"/>
        <v>0</v>
      </c>
      <c r="P78" s="48">
        <f t="shared" si="15"/>
        <v>0</v>
      </c>
    </row>
    <row r="79" spans="1:22" x14ac:dyDescent="0.2">
      <c r="A79" s="38">
        <v>63</v>
      </c>
      <c r="B79" s="39"/>
      <c r="C79" s="93" t="s">
        <v>377</v>
      </c>
      <c r="D79" s="25" t="s">
        <v>85</v>
      </c>
      <c r="E79" s="98">
        <v>1</v>
      </c>
      <c r="F79" s="65"/>
      <c r="G79" s="62"/>
      <c r="H79" s="47">
        <f t="shared" si="7"/>
        <v>0</v>
      </c>
      <c r="I79" s="62"/>
      <c r="J79" s="62"/>
      <c r="K79" s="48">
        <f t="shared" si="10"/>
        <v>0</v>
      </c>
      <c r="L79" s="49">
        <f t="shared" si="11"/>
        <v>0</v>
      </c>
      <c r="M79" s="47">
        <f t="shared" si="12"/>
        <v>0</v>
      </c>
      <c r="N79" s="47">
        <f t="shared" si="13"/>
        <v>0</v>
      </c>
      <c r="O79" s="47">
        <f t="shared" si="14"/>
        <v>0</v>
      </c>
      <c r="P79" s="48">
        <f t="shared" si="15"/>
        <v>0</v>
      </c>
    </row>
    <row r="80" spans="1:22" ht="22.5" x14ac:dyDescent="0.2">
      <c r="A80" s="38">
        <v>64</v>
      </c>
      <c r="B80" s="39"/>
      <c r="C80" s="93" t="s">
        <v>444</v>
      </c>
      <c r="D80" s="25" t="s">
        <v>85</v>
      </c>
      <c r="E80" s="98">
        <v>1</v>
      </c>
      <c r="F80" s="65"/>
      <c r="G80" s="62"/>
      <c r="H80" s="47">
        <f t="shared" si="7"/>
        <v>0</v>
      </c>
      <c r="I80" s="62"/>
      <c r="J80" s="62"/>
      <c r="K80" s="48">
        <f t="shared" si="10"/>
        <v>0</v>
      </c>
      <c r="L80" s="49">
        <f t="shared" si="11"/>
        <v>0</v>
      </c>
      <c r="M80" s="47">
        <f t="shared" si="12"/>
        <v>0</v>
      </c>
      <c r="N80" s="47">
        <f t="shared" si="13"/>
        <v>0</v>
      </c>
      <c r="O80" s="47">
        <f t="shared" si="14"/>
        <v>0</v>
      </c>
      <c r="P80" s="48">
        <f t="shared" si="15"/>
        <v>0</v>
      </c>
    </row>
    <row r="81" spans="1:16" ht="33.75" x14ac:dyDescent="0.2">
      <c r="A81" s="38">
        <v>65</v>
      </c>
      <c r="B81" s="39"/>
      <c r="C81" s="93" t="s">
        <v>445</v>
      </c>
      <c r="D81" s="25" t="s">
        <v>85</v>
      </c>
      <c r="E81" s="98">
        <v>1</v>
      </c>
      <c r="F81" s="65"/>
      <c r="G81" s="62"/>
      <c r="H81" s="47">
        <f t="shared" ref="H81:H87" si="16">ROUND(F81*G81,2)</f>
        <v>0</v>
      </c>
      <c r="I81" s="62"/>
      <c r="J81" s="62"/>
      <c r="K81" s="48">
        <f t="shared" si="10"/>
        <v>0</v>
      </c>
      <c r="L81" s="49">
        <f t="shared" si="11"/>
        <v>0</v>
      </c>
      <c r="M81" s="47">
        <f t="shared" si="12"/>
        <v>0</v>
      </c>
      <c r="N81" s="47">
        <f t="shared" si="13"/>
        <v>0</v>
      </c>
      <c r="O81" s="47">
        <f t="shared" si="14"/>
        <v>0</v>
      </c>
      <c r="P81" s="48">
        <f t="shared" si="15"/>
        <v>0</v>
      </c>
    </row>
    <row r="82" spans="1:16" ht="33.75" x14ac:dyDescent="0.2">
      <c r="A82" s="38">
        <v>66</v>
      </c>
      <c r="B82" s="39"/>
      <c r="C82" s="93" t="s">
        <v>446</v>
      </c>
      <c r="D82" s="25" t="s">
        <v>85</v>
      </c>
      <c r="E82" s="98">
        <f>E59</f>
        <v>111</v>
      </c>
      <c r="F82" s="65"/>
      <c r="G82" s="62"/>
      <c r="H82" s="47">
        <f t="shared" si="16"/>
        <v>0</v>
      </c>
      <c r="I82" s="62"/>
      <c r="J82" s="62"/>
      <c r="K82" s="48">
        <f t="shared" si="10"/>
        <v>0</v>
      </c>
      <c r="L82" s="49">
        <f t="shared" si="11"/>
        <v>0</v>
      </c>
      <c r="M82" s="47">
        <f t="shared" si="12"/>
        <v>0</v>
      </c>
      <c r="N82" s="47">
        <f t="shared" si="13"/>
        <v>0</v>
      </c>
      <c r="O82" s="47">
        <f t="shared" si="14"/>
        <v>0</v>
      </c>
      <c r="P82" s="48">
        <f t="shared" si="15"/>
        <v>0</v>
      </c>
    </row>
    <row r="83" spans="1:16" x14ac:dyDescent="0.2">
      <c r="A83" s="38">
        <v>67</v>
      </c>
      <c r="B83" s="39"/>
      <c r="C83" s="93" t="s">
        <v>447</v>
      </c>
      <c r="D83" s="25" t="s">
        <v>85</v>
      </c>
      <c r="E83" s="98">
        <v>1</v>
      </c>
      <c r="F83" s="65"/>
      <c r="G83" s="62"/>
      <c r="H83" s="47">
        <f t="shared" si="16"/>
        <v>0</v>
      </c>
      <c r="I83" s="62"/>
      <c r="J83" s="62"/>
      <c r="K83" s="48">
        <f t="shared" si="10"/>
        <v>0</v>
      </c>
      <c r="L83" s="49">
        <f t="shared" si="11"/>
        <v>0</v>
      </c>
      <c r="M83" s="47">
        <f t="shared" si="12"/>
        <v>0</v>
      </c>
      <c r="N83" s="47">
        <f t="shared" si="13"/>
        <v>0</v>
      </c>
      <c r="O83" s="47">
        <f t="shared" si="14"/>
        <v>0</v>
      </c>
      <c r="P83" s="48">
        <f t="shared" si="15"/>
        <v>0</v>
      </c>
    </row>
    <row r="84" spans="1:16" ht="33.75" x14ac:dyDescent="0.2">
      <c r="A84" s="38">
        <v>68</v>
      </c>
      <c r="B84" s="39"/>
      <c r="C84" s="93" t="s">
        <v>448</v>
      </c>
      <c r="D84" s="25" t="s">
        <v>449</v>
      </c>
      <c r="E84" s="98">
        <f>15*4+3</f>
        <v>63</v>
      </c>
      <c r="F84" s="65"/>
      <c r="G84" s="62"/>
      <c r="H84" s="47">
        <f t="shared" si="16"/>
        <v>0</v>
      </c>
      <c r="I84" s="62"/>
      <c r="J84" s="62"/>
      <c r="K84" s="48">
        <f t="shared" si="10"/>
        <v>0</v>
      </c>
      <c r="L84" s="49">
        <f t="shared" si="11"/>
        <v>0</v>
      </c>
      <c r="M84" s="47">
        <f t="shared" si="12"/>
        <v>0</v>
      </c>
      <c r="N84" s="47">
        <f t="shared" si="13"/>
        <v>0</v>
      </c>
      <c r="O84" s="47">
        <f t="shared" si="14"/>
        <v>0</v>
      </c>
      <c r="P84" s="48">
        <f t="shared" si="15"/>
        <v>0</v>
      </c>
    </row>
    <row r="85" spans="1:16" x14ac:dyDescent="0.2">
      <c r="A85" s="38">
        <v>69</v>
      </c>
      <c r="B85" s="39"/>
      <c r="C85" s="93" t="s">
        <v>450</v>
      </c>
      <c r="D85" s="25" t="s">
        <v>451</v>
      </c>
      <c r="E85" s="98">
        <v>1</v>
      </c>
      <c r="F85" s="65"/>
      <c r="G85" s="62"/>
      <c r="H85" s="47">
        <f t="shared" si="16"/>
        <v>0</v>
      </c>
      <c r="I85" s="62"/>
      <c r="J85" s="62"/>
      <c r="K85" s="48">
        <f t="shared" si="10"/>
        <v>0</v>
      </c>
      <c r="L85" s="49">
        <f t="shared" si="11"/>
        <v>0</v>
      </c>
      <c r="M85" s="47">
        <f t="shared" si="12"/>
        <v>0</v>
      </c>
      <c r="N85" s="47">
        <f t="shared" si="13"/>
        <v>0</v>
      </c>
      <c r="O85" s="47">
        <f t="shared" si="14"/>
        <v>0</v>
      </c>
      <c r="P85" s="48">
        <f t="shared" si="15"/>
        <v>0</v>
      </c>
    </row>
    <row r="86" spans="1:16" x14ac:dyDescent="0.2">
      <c r="A86" s="38">
        <v>70</v>
      </c>
      <c r="B86" s="39"/>
      <c r="C86" s="93" t="s">
        <v>385</v>
      </c>
      <c r="D86" s="25" t="s">
        <v>451</v>
      </c>
      <c r="E86" s="98">
        <v>1</v>
      </c>
      <c r="F86" s="65"/>
      <c r="G86" s="62"/>
      <c r="H86" s="47">
        <f t="shared" si="16"/>
        <v>0</v>
      </c>
      <c r="I86" s="62"/>
      <c r="J86" s="62"/>
      <c r="K86" s="48">
        <f t="shared" si="10"/>
        <v>0</v>
      </c>
      <c r="L86" s="49">
        <f t="shared" si="11"/>
        <v>0</v>
      </c>
      <c r="M86" s="47">
        <f t="shared" si="12"/>
        <v>0</v>
      </c>
      <c r="N86" s="47">
        <f t="shared" si="13"/>
        <v>0</v>
      </c>
      <c r="O86" s="47">
        <f t="shared" si="14"/>
        <v>0</v>
      </c>
      <c r="P86" s="48">
        <f t="shared" si="15"/>
        <v>0</v>
      </c>
    </row>
    <row r="87" spans="1:16" x14ac:dyDescent="0.2">
      <c r="A87" s="38">
        <v>71</v>
      </c>
      <c r="B87" s="39"/>
      <c r="C87" s="93" t="s">
        <v>452</v>
      </c>
      <c r="D87" s="25" t="s">
        <v>451</v>
      </c>
      <c r="E87" s="98">
        <v>1</v>
      </c>
      <c r="F87" s="65"/>
      <c r="G87" s="62"/>
      <c r="H87" s="47">
        <f t="shared" si="16"/>
        <v>0</v>
      </c>
      <c r="I87" s="62"/>
      <c r="J87" s="62"/>
      <c r="K87" s="48">
        <f t="shared" si="10"/>
        <v>0</v>
      </c>
      <c r="L87" s="49">
        <f t="shared" si="11"/>
        <v>0</v>
      </c>
      <c r="M87" s="47">
        <f t="shared" si="12"/>
        <v>0</v>
      </c>
      <c r="N87" s="47">
        <f t="shared" si="13"/>
        <v>0</v>
      </c>
      <c r="O87" s="47">
        <f t="shared" si="14"/>
        <v>0</v>
      </c>
      <c r="P87" s="48">
        <f t="shared" si="15"/>
        <v>0</v>
      </c>
    </row>
    <row r="88" spans="1:16" x14ac:dyDescent="0.2">
      <c r="A88" s="94">
        <v>3</v>
      </c>
      <c r="B88" s="95"/>
      <c r="C88" s="96" t="s">
        <v>210</v>
      </c>
      <c r="D88" s="25"/>
      <c r="E88" s="98"/>
      <c r="F88" s="65"/>
      <c r="G88" s="62"/>
      <c r="H88" s="47"/>
      <c r="I88" s="62"/>
      <c r="J88" s="62"/>
      <c r="K88" s="48">
        <f t="shared" si="10"/>
        <v>0</v>
      </c>
      <c r="L88" s="49">
        <f t="shared" si="11"/>
        <v>0</v>
      </c>
      <c r="M88" s="47">
        <f t="shared" si="12"/>
        <v>0</v>
      </c>
      <c r="N88" s="47">
        <f t="shared" si="13"/>
        <v>0</v>
      </c>
      <c r="O88" s="47">
        <f t="shared" si="14"/>
        <v>0</v>
      </c>
      <c r="P88" s="48">
        <f t="shared" si="15"/>
        <v>0</v>
      </c>
    </row>
    <row r="89" spans="1:16" ht="12" thickBot="1" x14ac:dyDescent="0.25">
      <c r="A89" s="38">
        <v>1</v>
      </c>
      <c r="B89" s="39"/>
      <c r="C89" s="93" t="s">
        <v>386</v>
      </c>
      <c r="D89" s="25" t="s">
        <v>68</v>
      </c>
      <c r="E89" s="98">
        <v>1</v>
      </c>
      <c r="F89" s="65"/>
      <c r="G89" s="62"/>
      <c r="H89" s="47">
        <f t="shared" ref="H89" si="17">ROUND(F89*G89,2)</f>
        <v>0</v>
      </c>
      <c r="I89" s="62"/>
      <c r="J89" s="62"/>
      <c r="K89" s="48">
        <f t="shared" si="10"/>
        <v>0</v>
      </c>
      <c r="L89" s="49">
        <f t="shared" si="11"/>
        <v>0</v>
      </c>
      <c r="M89" s="47">
        <f t="shared" si="12"/>
        <v>0</v>
      </c>
      <c r="N89" s="47">
        <f t="shared" si="13"/>
        <v>0</v>
      </c>
      <c r="O89" s="47">
        <f t="shared" si="14"/>
        <v>0</v>
      </c>
      <c r="P89" s="48">
        <f t="shared" si="15"/>
        <v>0</v>
      </c>
    </row>
    <row r="90" spans="1:16" ht="12" customHeight="1" thickBot="1" x14ac:dyDescent="0.25">
      <c r="A90" s="156" t="s">
        <v>88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8"/>
      <c r="L90" s="66">
        <f>SUM(L14:L89)</f>
        <v>0</v>
      </c>
      <c r="M90" s="67">
        <f>SUM(M14:M89)</f>
        <v>0</v>
      </c>
      <c r="N90" s="67">
        <f>SUM(N14:N89)</f>
        <v>0</v>
      </c>
      <c r="O90" s="67">
        <f>SUM(O14:O89)</f>
        <v>0</v>
      </c>
      <c r="P90" s="68">
        <f>SUM(P14:P89)</f>
        <v>0</v>
      </c>
    </row>
    <row r="91" spans="1:16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1.1" customHeight="1" x14ac:dyDescent="0.2">
      <c r="A93" s="1" t="s">
        <v>17</v>
      </c>
      <c r="B93" s="17"/>
      <c r="C93" s="107"/>
      <c r="D93" s="107"/>
      <c r="E93" s="107"/>
      <c r="F93" s="107"/>
      <c r="G93" s="107"/>
      <c r="H93" s="107"/>
      <c r="I93" s="17"/>
      <c r="J93" s="17"/>
      <c r="K93" s="17"/>
      <c r="L93" s="17"/>
      <c r="M93" s="17"/>
      <c r="N93" s="17"/>
      <c r="O93" s="17"/>
      <c r="P93" s="17"/>
    </row>
    <row r="94" spans="1:16" ht="11.1" customHeight="1" x14ac:dyDescent="0.2">
      <c r="A94" s="17"/>
      <c r="B94" s="17"/>
      <c r="C94" s="108" t="s">
        <v>18</v>
      </c>
      <c r="D94" s="108"/>
      <c r="E94" s="108"/>
      <c r="F94" s="108"/>
      <c r="G94" s="108"/>
      <c r="H94" s="108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" t="s">
        <v>19</v>
      </c>
      <c r="B97" s="17"/>
      <c r="C97" s="107"/>
      <c r="D97" s="107"/>
      <c r="E97" s="107"/>
      <c r="F97" s="107"/>
      <c r="G97" s="107"/>
      <c r="H97" s="107"/>
      <c r="I97" s="17"/>
      <c r="J97" s="17"/>
      <c r="K97" s="17"/>
      <c r="L97" s="17"/>
      <c r="M97" s="17"/>
      <c r="N97" s="17"/>
      <c r="O97" s="17"/>
      <c r="P97" s="17"/>
    </row>
    <row r="98" spans="1:16" ht="11.1" customHeight="1" x14ac:dyDescent="0.2">
      <c r="A98" s="17"/>
      <c r="B98" s="17"/>
      <c r="C98" s="108" t="s">
        <v>18</v>
      </c>
      <c r="D98" s="108"/>
      <c r="E98" s="108"/>
      <c r="F98" s="108"/>
      <c r="G98" s="108"/>
      <c r="H98" s="108"/>
      <c r="I98" s="17"/>
      <c r="J98" s="17"/>
      <c r="K98" s="17"/>
      <c r="L98" s="17"/>
      <c r="M98" s="17"/>
      <c r="N98" s="17"/>
      <c r="O98" s="17"/>
      <c r="P98" s="17"/>
    </row>
    <row r="99" spans="1:16" ht="11.1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">
      <c r="A100" s="85" t="s">
        <v>20</v>
      </c>
      <c r="B100" s="86"/>
      <c r="C100" s="90"/>
      <c r="D100" s="86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">
      <c r="I101" s="17"/>
      <c r="J101" s="17"/>
      <c r="K101" s="17"/>
      <c r="L101" s="17"/>
      <c r="M101" s="17"/>
      <c r="N101" s="17"/>
      <c r="O101" s="17"/>
      <c r="P101" s="17"/>
    </row>
    <row r="102" spans="1:16" x14ac:dyDescent="0.2">
      <c r="I102" s="17"/>
      <c r="J102" s="17"/>
      <c r="K102" s="17"/>
      <c r="L102" s="17"/>
      <c r="M102" s="17"/>
      <c r="N102" s="17"/>
      <c r="O102" s="17"/>
      <c r="P102" s="17"/>
    </row>
  </sheetData>
  <mergeCells count="23">
    <mergeCell ref="D8:L8"/>
    <mergeCell ref="S70:V71"/>
    <mergeCell ref="C2:I2"/>
    <mergeCell ref="C3:I3"/>
    <mergeCell ref="D5:L5"/>
    <mergeCell ref="D6:L6"/>
    <mergeCell ref="D7:L7"/>
    <mergeCell ref="C4:I4"/>
    <mergeCell ref="C93:H93"/>
    <mergeCell ref="C94:H94"/>
    <mergeCell ref="C98:H98"/>
    <mergeCell ref="C97:H97"/>
    <mergeCell ref="N9:O9"/>
    <mergeCell ref="C12:C13"/>
    <mergeCell ref="D12:D13"/>
    <mergeCell ref="E12:E13"/>
    <mergeCell ref="L12:P12"/>
    <mergeCell ref="A9:I9"/>
    <mergeCell ref="F12:K12"/>
    <mergeCell ref="J9:M9"/>
    <mergeCell ref="A90:K90"/>
    <mergeCell ref="A12:A13"/>
    <mergeCell ref="B12:B13"/>
  </mergeCells>
  <conditionalFormatting sqref="I14:J89 A14:G89">
    <cfRule type="cellIs" dxfId="62" priority="36" operator="equal">
      <formula>0</formula>
    </cfRule>
  </conditionalFormatting>
  <conditionalFormatting sqref="N9:O9 K14:P89 H14:H89">
    <cfRule type="cellIs" dxfId="61" priority="35" operator="equal">
      <formula>0</formula>
    </cfRule>
  </conditionalFormatting>
  <conditionalFormatting sqref="C2:I2">
    <cfRule type="cellIs" dxfId="60" priority="32" operator="equal">
      <formula>0</formula>
    </cfRule>
  </conditionalFormatting>
  <conditionalFormatting sqref="O10">
    <cfRule type="cellIs" dxfId="59" priority="31" operator="equal">
      <formula>"20__. gada __. _________"</formula>
    </cfRule>
  </conditionalFormatting>
  <conditionalFormatting sqref="L90:P90">
    <cfRule type="cellIs" dxfId="58" priority="25" operator="equal">
      <formula>0</formula>
    </cfRule>
  </conditionalFormatting>
  <conditionalFormatting sqref="C4:I4">
    <cfRule type="cellIs" dxfId="57" priority="24" operator="equal">
      <formula>0</formula>
    </cfRule>
  </conditionalFormatting>
  <conditionalFormatting sqref="D5:L8">
    <cfRule type="cellIs" dxfId="56" priority="20" operator="equal">
      <formula>0</formula>
    </cfRule>
  </conditionalFormatting>
  <conditionalFormatting sqref="P10">
    <cfRule type="cellIs" dxfId="55" priority="16" operator="equal">
      <formula>"20__. gada __. _________"</formula>
    </cfRule>
  </conditionalFormatting>
  <conditionalFormatting sqref="D1">
    <cfRule type="cellIs" dxfId="54" priority="10" operator="equal">
      <formula>0</formula>
    </cfRule>
  </conditionalFormatting>
  <conditionalFormatting sqref="A9">
    <cfRule type="containsText" dxfId="53" priority="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90:K90">
    <cfRule type="containsText" dxfId="52" priority="5" operator="containsText" text="Tiešās izmaksas kopā, t. sk. darba devēja sociālais nodoklis __.__% ">
      <formula>NOT(ISERROR(SEARCH("Tiešās izmaksas kopā, t. sk. darba devēja sociālais nodoklis __.__% ",A90)))</formula>
    </cfRule>
  </conditionalFormatting>
  <conditionalFormatting sqref="C97:H97">
    <cfRule type="cellIs" dxfId="51" priority="4" operator="equal">
      <formula>0</formula>
    </cfRule>
  </conditionalFormatting>
  <conditionalFormatting sqref="C93:H93">
    <cfRule type="cellIs" dxfId="50" priority="3" operator="equal">
      <formula>0</formula>
    </cfRule>
  </conditionalFormatting>
  <conditionalFormatting sqref="C100">
    <cfRule type="cellIs" dxfId="49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CF5A908-6C9C-FB4D-9C62-C34FAB3E2779}">
            <xm:f>NOT(ISERROR(SEARCH("Sertifikāta Nr. _________________________________",A100)))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92D050"/>
  </sheetPr>
  <dimension ref="A1:V73"/>
  <sheetViews>
    <sheetView workbookViewId="0">
      <selection activeCell="I14" sqref="I14:J59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42</v>
      </c>
      <c r="D1" s="50">
        <f>'Kops a'!A24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453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1" t="s">
        <v>22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61"/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7</v>
      </c>
      <c r="D6" s="173" t="str">
        <f>'Kops a'!D7</f>
        <v>Daudzdzīvokļu dzīvojamās mājas, Dakteru ielā 24, Smiltenē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9</v>
      </c>
      <c r="D7" s="173" t="str">
        <f>'Kops a'!D8</f>
        <v>Dakteru iela 24, Smiltene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25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44</v>
      </c>
      <c r="B9" s="159"/>
      <c r="C9" s="159"/>
      <c r="D9" s="159"/>
      <c r="E9" s="159"/>
      <c r="F9" s="159"/>
      <c r="G9" s="159"/>
      <c r="H9" s="159"/>
      <c r="I9" s="159"/>
      <c r="J9" s="165" t="s">
        <v>45</v>
      </c>
      <c r="K9" s="165"/>
      <c r="L9" s="165"/>
      <c r="M9" s="165"/>
      <c r="N9" s="172">
        <f>P61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>
        <f>A67</f>
        <v>0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9" t="s">
        <v>28</v>
      </c>
      <c r="B12" s="167" t="s">
        <v>46</v>
      </c>
      <c r="C12" s="163" t="s">
        <v>47</v>
      </c>
      <c r="D12" s="170" t="s">
        <v>48</v>
      </c>
      <c r="E12" s="154" t="s">
        <v>49</v>
      </c>
      <c r="F12" s="162" t="s">
        <v>50</v>
      </c>
      <c r="G12" s="163"/>
      <c r="H12" s="163"/>
      <c r="I12" s="163"/>
      <c r="J12" s="163"/>
      <c r="K12" s="164"/>
      <c r="L12" s="162" t="s">
        <v>51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5"/>
      <c r="F13" s="36" t="s">
        <v>52</v>
      </c>
      <c r="G13" s="37" t="s">
        <v>53</v>
      </c>
      <c r="H13" s="37" t="s">
        <v>54</v>
      </c>
      <c r="I13" s="37" t="s">
        <v>55</v>
      </c>
      <c r="J13" s="37" t="s">
        <v>56</v>
      </c>
      <c r="K13" s="61" t="s">
        <v>57</v>
      </c>
      <c r="L13" s="36" t="s">
        <v>52</v>
      </c>
      <c r="M13" s="37" t="s">
        <v>54</v>
      </c>
      <c r="N13" s="37" t="s">
        <v>55</v>
      </c>
      <c r="O13" s="37" t="s">
        <v>56</v>
      </c>
      <c r="P13" s="61" t="s">
        <v>57</v>
      </c>
    </row>
    <row r="14" spans="1:16" x14ac:dyDescent="0.2">
      <c r="A14" s="94">
        <v>1</v>
      </c>
      <c r="B14" s="95"/>
      <c r="C14" s="96" t="s">
        <v>58</v>
      </c>
      <c r="D14" s="25"/>
      <c r="E14" s="98"/>
      <c r="F14" s="65"/>
      <c r="G14" s="62"/>
      <c r="H14" s="47"/>
      <c r="I14" s="62"/>
      <c r="J14" s="62"/>
      <c r="K14" s="63">
        <f>SUM(H14:J14)</f>
        <v>0</v>
      </c>
      <c r="L14" s="65">
        <f>ROUND(E14*F14,2)</f>
        <v>0</v>
      </c>
      <c r="M14" s="62">
        <f>ROUND(H14*E14,2)</f>
        <v>0</v>
      </c>
      <c r="N14" s="62">
        <f>ROUND(I14*E14,2)</f>
        <v>0</v>
      </c>
      <c r="O14" s="62">
        <f>ROUND(J14*E14,2)</f>
        <v>0</v>
      </c>
      <c r="P14" s="63">
        <f>SUM(M14:O14)</f>
        <v>0</v>
      </c>
    </row>
    <row r="15" spans="1:16" x14ac:dyDescent="0.2">
      <c r="A15" s="38">
        <v>1</v>
      </c>
      <c r="B15" s="39"/>
      <c r="C15" s="93" t="s">
        <v>454</v>
      </c>
      <c r="D15" s="25" t="s">
        <v>68</v>
      </c>
      <c r="E15" s="98">
        <v>1</v>
      </c>
      <c r="F15" s="65"/>
      <c r="G15" s="62"/>
      <c r="H15" s="47">
        <f t="shared" ref="H15" si="0">ROUND(F15*G15,2)</f>
        <v>0</v>
      </c>
      <c r="I15" s="62"/>
      <c r="J15" s="62"/>
      <c r="K15" s="48">
        <f t="shared" ref="K15:K60" si="1">SUM(H15:J15)</f>
        <v>0</v>
      </c>
      <c r="L15" s="49">
        <f t="shared" ref="L15:L60" si="2">ROUND(E15*F15,2)</f>
        <v>0</v>
      </c>
      <c r="M15" s="47">
        <f t="shared" ref="M15:M60" si="3">ROUND(H15*E15,2)</f>
        <v>0</v>
      </c>
      <c r="N15" s="47">
        <f t="shared" ref="N15:N60" si="4">ROUND(I15*E15,2)</f>
        <v>0</v>
      </c>
      <c r="O15" s="47">
        <f t="shared" ref="O15:O60" si="5">ROUND(J15*E15,2)</f>
        <v>0</v>
      </c>
      <c r="P15" s="48">
        <f t="shared" ref="P15:P60" si="6">SUM(M15:O15)</f>
        <v>0</v>
      </c>
    </row>
    <row r="16" spans="1:16" x14ac:dyDescent="0.2">
      <c r="A16" s="94">
        <v>2</v>
      </c>
      <c r="B16" s="95"/>
      <c r="C16" s="96" t="s">
        <v>455</v>
      </c>
      <c r="D16" s="25"/>
      <c r="E16" s="98"/>
      <c r="F16" s="65"/>
      <c r="G16" s="62"/>
      <c r="H16" s="47"/>
      <c r="I16" s="62"/>
      <c r="J16" s="62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21" x14ac:dyDescent="0.2">
      <c r="A17" s="38">
        <v>1</v>
      </c>
      <c r="B17" s="39"/>
      <c r="C17" s="93" t="s">
        <v>456</v>
      </c>
      <c r="D17" s="25" t="s">
        <v>82</v>
      </c>
      <c r="E17" s="98">
        <v>6</v>
      </c>
      <c r="F17" s="65"/>
      <c r="G17" s="62"/>
      <c r="H17" s="47">
        <f t="shared" ref="H17:H48" si="7">ROUND(F17*G17,2)</f>
        <v>0</v>
      </c>
      <c r="I17" s="62"/>
      <c r="J17" s="62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21" x14ac:dyDescent="0.2">
      <c r="A18" s="38">
        <v>2</v>
      </c>
      <c r="B18" s="39"/>
      <c r="C18" s="93" t="s">
        <v>457</v>
      </c>
      <c r="D18" s="25" t="s">
        <v>82</v>
      </c>
      <c r="E18" s="98">
        <v>6</v>
      </c>
      <c r="F18" s="65"/>
      <c r="G18" s="62"/>
      <c r="H18" s="47">
        <f t="shared" si="7"/>
        <v>0</v>
      </c>
      <c r="I18" s="62"/>
      <c r="J18" s="62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21" x14ac:dyDescent="0.2">
      <c r="A19" s="38">
        <v>3</v>
      </c>
      <c r="B19" s="39"/>
      <c r="C19" s="93" t="s">
        <v>458</v>
      </c>
      <c r="D19" s="25" t="s">
        <v>82</v>
      </c>
      <c r="E19" s="98">
        <v>10</v>
      </c>
      <c r="F19" s="65"/>
      <c r="G19" s="62"/>
      <c r="H19" s="47">
        <f t="shared" si="7"/>
        <v>0</v>
      </c>
      <c r="I19" s="62"/>
      <c r="J19" s="62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21" x14ac:dyDescent="0.2">
      <c r="A20" s="38">
        <v>4</v>
      </c>
      <c r="B20" s="39"/>
      <c r="C20" s="93" t="s">
        <v>459</v>
      </c>
      <c r="D20" s="25" t="s">
        <v>82</v>
      </c>
      <c r="E20" s="98">
        <v>6</v>
      </c>
      <c r="F20" s="65"/>
      <c r="G20" s="62"/>
      <c r="H20" s="47">
        <f t="shared" si="7"/>
        <v>0</v>
      </c>
      <c r="I20" s="62"/>
      <c r="J20" s="62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21" x14ac:dyDescent="0.2">
      <c r="A21" s="38">
        <v>5</v>
      </c>
      <c r="B21" s="39"/>
      <c r="C21" s="93" t="s">
        <v>460</v>
      </c>
      <c r="D21" s="25" t="s">
        <v>95</v>
      </c>
      <c r="E21" s="98">
        <v>3</v>
      </c>
      <c r="F21" s="65"/>
      <c r="G21" s="62"/>
      <c r="H21" s="47">
        <f t="shared" si="7"/>
        <v>0</v>
      </c>
      <c r="I21" s="62"/>
      <c r="J21" s="62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21" x14ac:dyDescent="0.2">
      <c r="A22" s="38">
        <v>6</v>
      </c>
      <c r="B22" s="39"/>
      <c r="C22" s="93" t="s">
        <v>461</v>
      </c>
      <c r="D22" s="25" t="s">
        <v>95</v>
      </c>
      <c r="E22" s="98">
        <v>1</v>
      </c>
      <c r="F22" s="65"/>
      <c r="G22" s="62"/>
      <c r="H22" s="47">
        <f t="shared" si="7"/>
        <v>0</v>
      </c>
      <c r="I22" s="62"/>
      <c r="J22" s="62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21" x14ac:dyDescent="0.2">
      <c r="A23" s="38">
        <v>7</v>
      </c>
      <c r="B23" s="39"/>
      <c r="C23" s="93" t="s">
        <v>462</v>
      </c>
      <c r="D23" s="25" t="s">
        <v>95</v>
      </c>
      <c r="E23" s="98">
        <v>5</v>
      </c>
      <c r="F23" s="65"/>
      <c r="G23" s="62"/>
      <c r="H23" s="47">
        <f t="shared" si="7"/>
        <v>0</v>
      </c>
      <c r="I23" s="62"/>
      <c r="J23" s="62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21" x14ac:dyDescent="0.2">
      <c r="A24" s="38">
        <v>8</v>
      </c>
      <c r="B24" s="39"/>
      <c r="C24" s="93" t="s">
        <v>463</v>
      </c>
      <c r="D24" s="25" t="s">
        <v>95</v>
      </c>
      <c r="E24" s="98">
        <v>6</v>
      </c>
      <c r="F24" s="65"/>
      <c r="G24" s="62"/>
      <c r="H24" s="47">
        <f t="shared" si="7"/>
        <v>0</v>
      </c>
      <c r="I24" s="62"/>
      <c r="J24" s="62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21" x14ac:dyDescent="0.2">
      <c r="A25" s="38">
        <v>9</v>
      </c>
      <c r="B25" s="39"/>
      <c r="C25" s="93" t="s">
        <v>464</v>
      </c>
      <c r="D25" s="25" t="s">
        <v>95</v>
      </c>
      <c r="E25" s="98">
        <v>7</v>
      </c>
      <c r="F25" s="65"/>
      <c r="G25" s="62"/>
      <c r="H25" s="47">
        <f t="shared" si="7"/>
        <v>0</v>
      </c>
      <c r="I25" s="62"/>
      <c r="J25" s="62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21" x14ac:dyDescent="0.2">
      <c r="A26" s="38">
        <v>10</v>
      </c>
      <c r="B26" s="39"/>
      <c r="C26" s="93" t="s">
        <v>465</v>
      </c>
      <c r="D26" s="25" t="s">
        <v>95</v>
      </c>
      <c r="E26" s="98">
        <v>1</v>
      </c>
      <c r="F26" s="65"/>
      <c r="G26" s="62"/>
      <c r="H26" s="47">
        <f>ROUND(F26*G26,2)</f>
        <v>0</v>
      </c>
      <c r="I26" s="62"/>
      <c r="J26" s="62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21" x14ac:dyDescent="0.2">
      <c r="A27" s="38">
        <v>11</v>
      </c>
      <c r="B27" s="39"/>
      <c r="C27" s="93" t="s">
        <v>466</v>
      </c>
      <c r="D27" s="25" t="s">
        <v>95</v>
      </c>
      <c r="E27" s="98">
        <v>1</v>
      </c>
      <c r="F27" s="65"/>
      <c r="G27" s="62"/>
      <c r="H27" s="47">
        <f t="shared" ref="H27:H28" si="8">ROUND(F27*G27,2)</f>
        <v>0</v>
      </c>
      <c r="I27" s="62"/>
      <c r="J27" s="62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21" x14ac:dyDescent="0.2">
      <c r="A28" s="38">
        <v>12</v>
      </c>
      <c r="B28" s="39"/>
      <c r="C28" s="93" t="s">
        <v>467</v>
      </c>
      <c r="D28" s="25" t="s">
        <v>95</v>
      </c>
      <c r="E28" s="98">
        <v>1</v>
      </c>
      <c r="F28" s="65"/>
      <c r="G28" s="62"/>
      <c r="H28" s="47">
        <f t="shared" si="8"/>
        <v>0</v>
      </c>
      <c r="I28" s="62"/>
      <c r="J28" s="62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21" x14ac:dyDescent="0.2">
      <c r="A29" s="38">
        <v>13</v>
      </c>
      <c r="B29" s="39"/>
      <c r="C29" s="93" t="s">
        <v>468</v>
      </c>
      <c r="D29" s="25" t="s">
        <v>95</v>
      </c>
      <c r="E29" s="98">
        <v>1</v>
      </c>
      <c r="F29" s="65"/>
      <c r="G29" s="62"/>
      <c r="H29" s="47">
        <f>ROUND(F29*G29,2)</f>
        <v>0</v>
      </c>
      <c r="I29" s="62"/>
      <c r="J29" s="62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21" x14ac:dyDescent="0.2">
      <c r="A30" s="38">
        <v>14</v>
      </c>
      <c r="B30" s="39"/>
      <c r="C30" s="93" t="s">
        <v>469</v>
      </c>
      <c r="D30" s="25" t="s">
        <v>95</v>
      </c>
      <c r="E30" s="98">
        <v>1</v>
      </c>
      <c r="F30" s="65"/>
      <c r="G30" s="62"/>
      <c r="H30" s="47">
        <f t="shared" ref="H30:H31" si="9">ROUND(F30*G30,2)</f>
        <v>0</v>
      </c>
      <c r="I30" s="62"/>
      <c r="J30" s="62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21" x14ac:dyDescent="0.2">
      <c r="A31" s="38">
        <v>15</v>
      </c>
      <c r="B31" s="39"/>
      <c r="C31" s="93" t="s">
        <v>470</v>
      </c>
      <c r="D31" s="25" t="s">
        <v>95</v>
      </c>
      <c r="E31" s="98">
        <v>1</v>
      </c>
      <c r="F31" s="65"/>
      <c r="G31" s="62"/>
      <c r="H31" s="47">
        <f t="shared" si="9"/>
        <v>0</v>
      </c>
      <c r="I31" s="62"/>
      <c r="J31" s="62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21" x14ac:dyDescent="0.2">
      <c r="A32" s="38">
        <v>16</v>
      </c>
      <c r="B32" s="39"/>
      <c r="C32" s="93" t="s">
        <v>471</v>
      </c>
      <c r="D32" s="25" t="s">
        <v>95</v>
      </c>
      <c r="E32" s="98">
        <v>2</v>
      </c>
      <c r="F32" s="65"/>
      <c r="G32" s="62"/>
      <c r="H32" s="47">
        <f t="shared" si="7"/>
        <v>0</v>
      </c>
      <c r="I32" s="62"/>
      <c r="J32" s="62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  <c r="Q32" s="104"/>
      <c r="R32" s="159"/>
      <c r="S32" s="159"/>
      <c r="T32" s="159"/>
      <c r="U32" s="105"/>
    </row>
    <row r="33" spans="1:16" ht="22.5" x14ac:dyDescent="0.2">
      <c r="A33" s="38">
        <v>17</v>
      </c>
      <c r="B33" s="39"/>
      <c r="C33" s="93" t="s">
        <v>472</v>
      </c>
      <c r="D33" s="25" t="s">
        <v>68</v>
      </c>
      <c r="E33" s="98">
        <v>1</v>
      </c>
      <c r="F33" s="65"/>
      <c r="G33" s="62"/>
      <c r="H33" s="47">
        <f t="shared" si="7"/>
        <v>0</v>
      </c>
      <c r="I33" s="62"/>
      <c r="J33" s="62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2.5" x14ac:dyDescent="0.2">
      <c r="A34" s="38">
        <v>18</v>
      </c>
      <c r="B34" s="39"/>
      <c r="C34" s="93" t="s">
        <v>473</v>
      </c>
      <c r="D34" s="25" t="s">
        <v>68</v>
      </c>
      <c r="E34" s="98">
        <v>1</v>
      </c>
      <c r="F34" s="65"/>
      <c r="G34" s="62"/>
      <c r="H34" s="47">
        <f t="shared" si="7"/>
        <v>0</v>
      </c>
      <c r="I34" s="62"/>
      <c r="J34" s="62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2.5" x14ac:dyDescent="0.2">
      <c r="A35" s="38">
        <v>19</v>
      </c>
      <c r="B35" s="39"/>
      <c r="C35" s="93" t="s">
        <v>474</v>
      </c>
      <c r="D35" s="25" t="s">
        <v>68</v>
      </c>
      <c r="E35" s="98">
        <v>1</v>
      </c>
      <c r="F35" s="65"/>
      <c r="G35" s="62"/>
      <c r="H35" s="47">
        <f t="shared" si="7"/>
        <v>0</v>
      </c>
      <c r="I35" s="62"/>
      <c r="J35" s="62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2.5" x14ac:dyDescent="0.2">
      <c r="A36" s="38">
        <v>20</v>
      </c>
      <c r="B36" s="39"/>
      <c r="C36" s="93" t="s">
        <v>475</v>
      </c>
      <c r="D36" s="25" t="s">
        <v>68</v>
      </c>
      <c r="E36" s="98">
        <v>1</v>
      </c>
      <c r="F36" s="65"/>
      <c r="G36" s="62"/>
      <c r="H36" s="47">
        <f t="shared" si="7"/>
        <v>0</v>
      </c>
      <c r="I36" s="62"/>
      <c r="J36" s="62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33.75" x14ac:dyDescent="0.2">
      <c r="A37" s="38">
        <v>21</v>
      </c>
      <c r="B37" s="39"/>
      <c r="C37" s="93" t="s">
        <v>476</v>
      </c>
      <c r="D37" s="25" t="s">
        <v>68</v>
      </c>
      <c r="E37" s="98">
        <v>1</v>
      </c>
      <c r="F37" s="65"/>
      <c r="G37" s="62"/>
      <c r="H37" s="47">
        <f t="shared" si="7"/>
        <v>0</v>
      </c>
      <c r="I37" s="62"/>
      <c r="J37" s="62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33.75" x14ac:dyDescent="0.2">
      <c r="A38" s="38">
        <v>22</v>
      </c>
      <c r="B38" s="39"/>
      <c r="C38" s="93" t="s">
        <v>477</v>
      </c>
      <c r="D38" s="25" t="s">
        <v>68</v>
      </c>
      <c r="E38" s="98">
        <v>1</v>
      </c>
      <c r="F38" s="65"/>
      <c r="G38" s="62"/>
      <c r="H38" s="47">
        <f t="shared" si="7"/>
        <v>0</v>
      </c>
      <c r="I38" s="62"/>
      <c r="J38" s="62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2.5" x14ac:dyDescent="0.2">
      <c r="A39" s="38">
        <v>23</v>
      </c>
      <c r="B39" s="39"/>
      <c r="C39" s="93" t="s">
        <v>478</v>
      </c>
      <c r="D39" s="25" t="s">
        <v>68</v>
      </c>
      <c r="E39" s="98">
        <v>1</v>
      </c>
      <c r="F39" s="65"/>
      <c r="G39" s="62"/>
      <c r="H39" s="47">
        <f t="shared" si="7"/>
        <v>0</v>
      </c>
      <c r="I39" s="62"/>
      <c r="J39" s="62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2.5" x14ac:dyDescent="0.2">
      <c r="A40" s="38">
        <v>24</v>
      </c>
      <c r="B40" s="39"/>
      <c r="C40" s="93" t="s">
        <v>479</v>
      </c>
      <c r="D40" s="25" t="s">
        <v>68</v>
      </c>
      <c r="E40" s="98">
        <v>1</v>
      </c>
      <c r="F40" s="65"/>
      <c r="G40" s="62"/>
      <c r="H40" s="47">
        <f t="shared" si="7"/>
        <v>0</v>
      </c>
      <c r="I40" s="62"/>
      <c r="J40" s="62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2.5" x14ac:dyDescent="0.2">
      <c r="A41" s="38">
        <v>25</v>
      </c>
      <c r="B41" s="39"/>
      <c r="C41" s="93" t="s">
        <v>480</v>
      </c>
      <c r="D41" s="25" t="s">
        <v>68</v>
      </c>
      <c r="E41" s="98">
        <v>1</v>
      </c>
      <c r="F41" s="65"/>
      <c r="G41" s="62"/>
      <c r="H41" s="47">
        <f t="shared" si="7"/>
        <v>0</v>
      </c>
      <c r="I41" s="62"/>
      <c r="J41" s="62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x14ac:dyDescent="0.2">
      <c r="A42" s="38">
        <v>26</v>
      </c>
      <c r="B42" s="39"/>
      <c r="C42" s="93" t="s">
        <v>481</v>
      </c>
      <c r="D42" s="25" t="s">
        <v>95</v>
      </c>
      <c r="E42" s="98">
        <v>1</v>
      </c>
      <c r="F42" s="65"/>
      <c r="G42" s="62"/>
      <c r="H42" s="47">
        <f t="shared" si="7"/>
        <v>0</v>
      </c>
      <c r="I42" s="62"/>
      <c r="J42" s="62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x14ac:dyDescent="0.2">
      <c r="A43" s="38">
        <v>27</v>
      </c>
      <c r="B43" s="39"/>
      <c r="C43" s="93" t="s">
        <v>482</v>
      </c>
      <c r="D43" s="25" t="s">
        <v>95</v>
      </c>
      <c r="E43" s="98">
        <v>1</v>
      </c>
      <c r="F43" s="65"/>
      <c r="G43" s="62"/>
      <c r="H43" s="47">
        <f t="shared" si="7"/>
        <v>0</v>
      </c>
      <c r="I43" s="62"/>
      <c r="J43" s="62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x14ac:dyDescent="0.2">
      <c r="A44" s="38">
        <v>28</v>
      </c>
      <c r="B44" s="39"/>
      <c r="C44" s="93" t="s">
        <v>483</v>
      </c>
      <c r="D44" s="25" t="s">
        <v>95</v>
      </c>
      <c r="E44" s="98">
        <v>1</v>
      </c>
      <c r="F44" s="65"/>
      <c r="G44" s="62"/>
      <c r="H44" s="47">
        <f t="shared" si="7"/>
        <v>0</v>
      </c>
      <c r="I44" s="62"/>
      <c r="J44" s="62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2.5" x14ac:dyDescent="0.2">
      <c r="A45" s="38">
        <v>29</v>
      </c>
      <c r="B45" s="39"/>
      <c r="C45" s="93" t="s">
        <v>484</v>
      </c>
      <c r="D45" s="25" t="s">
        <v>95</v>
      </c>
      <c r="E45" s="98">
        <v>1</v>
      </c>
      <c r="F45" s="65"/>
      <c r="G45" s="62"/>
      <c r="H45" s="47">
        <f t="shared" si="7"/>
        <v>0</v>
      </c>
      <c r="I45" s="62"/>
      <c r="J45" s="62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x14ac:dyDescent="0.2">
      <c r="A46" s="38">
        <v>30</v>
      </c>
      <c r="B46" s="39"/>
      <c r="C46" s="93" t="s">
        <v>485</v>
      </c>
      <c r="D46" s="25" t="s">
        <v>95</v>
      </c>
      <c r="E46" s="98">
        <v>8</v>
      </c>
      <c r="F46" s="65"/>
      <c r="G46" s="62"/>
      <c r="H46" s="47">
        <f t="shared" si="7"/>
        <v>0</v>
      </c>
      <c r="I46" s="62"/>
      <c r="J46" s="62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x14ac:dyDescent="0.2">
      <c r="A47" s="38">
        <v>31</v>
      </c>
      <c r="B47" s="39"/>
      <c r="C47" s="93" t="s">
        <v>486</v>
      </c>
      <c r="D47" s="25" t="s">
        <v>95</v>
      </c>
      <c r="E47" s="98">
        <v>7</v>
      </c>
      <c r="F47" s="65"/>
      <c r="G47" s="62"/>
      <c r="H47" s="47">
        <f t="shared" si="7"/>
        <v>0</v>
      </c>
      <c r="I47" s="62"/>
      <c r="J47" s="62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22.5" x14ac:dyDescent="0.2">
      <c r="A48" s="38">
        <v>32</v>
      </c>
      <c r="B48" s="39"/>
      <c r="C48" s="93" t="s">
        <v>487</v>
      </c>
      <c r="D48" s="25" t="s">
        <v>95</v>
      </c>
      <c r="E48" s="98">
        <v>13</v>
      </c>
      <c r="F48" s="65"/>
      <c r="G48" s="62"/>
      <c r="H48" s="47">
        <f t="shared" si="7"/>
        <v>0</v>
      </c>
      <c r="I48" s="62"/>
      <c r="J48" s="62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22" x14ac:dyDescent="0.2">
      <c r="A49" s="38">
        <v>33</v>
      </c>
      <c r="B49" s="39"/>
      <c r="C49" s="93" t="s">
        <v>488</v>
      </c>
      <c r="D49" s="25" t="s">
        <v>95</v>
      </c>
      <c r="E49" s="98">
        <v>8</v>
      </c>
      <c r="F49" s="65"/>
      <c r="G49" s="62"/>
      <c r="H49" s="47">
        <f>ROUND(F49*G49,2)</f>
        <v>0</v>
      </c>
      <c r="I49" s="62"/>
      <c r="J49" s="62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22" x14ac:dyDescent="0.2">
      <c r="A50" s="38">
        <v>34</v>
      </c>
      <c r="B50" s="39"/>
      <c r="C50" s="93" t="s">
        <v>489</v>
      </c>
      <c r="D50" s="25" t="s">
        <v>95</v>
      </c>
      <c r="E50" s="98">
        <v>7</v>
      </c>
      <c r="F50" s="65"/>
      <c r="G50" s="62"/>
      <c r="H50" s="47">
        <f t="shared" ref="H50:H58" si="10">ROUND(F50*G50,2)</f>
        <v>0</v>
      </c>
      <c r="I50" s="62"/>
      <c r="J50" s="62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22" ht="45" x14ac:dyDescent="0.2">
      <c r="A51" s="38">
        <v>35</v>
      </c>
      <c r="B51" s="39"/>
      <c r="C51" s="93" t="s">
        <v>357</v>
      </c>
      <c r="D51" s="25" t="s">
        <v>82</v>
      </c>
      <c r="E51" s="98">
        <v>6</v>
      </c>
      <c r="F51" s="65"/>
      <c r="G51" s="62"/>
      <c r="H51" s="47">
        <f t="shared" si="10"/>
        <v>0</v>
      </c>
      <c r="I51" s="62"/>
      <c r="J51" s="62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  <c r="Q51" s="104"/>
      <c r="R51" s="105"/>
      <c r="S51" s="159"/>
      <c r="T51" s="159"/>
      <c r="U51" s="159"/>
      <c r="V51" s="159"/>
    </row>
    <row r="52" spans="1:22" ht="45" x14ac:dyDescent="0.2">
      <c r="A52" s="38">
        <v>36</v>
      </c>
      <c r="B52" s="39"/>
      <c r="C52" s="93" t="s">
        <v>358</v>
      </c>
      <c r="D52" s="25" t="s">
        <v>82</v>
      </c>
      <c r="E52" s="98">
        <v>6</v>
      </c>
      <c r="F52" s="65"/>
      <c r="G52" s="62"/>
      <c r="H52" s="47">
        <f t="shared" si="10"/>
        <v>0</v>
      </c>
      <c r="I52" s="62"/>
      <c r="J52" s="62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  <c r="Q52" s="104"/>
      <c r="R52" s="105"/>
      <c r="S52" s="159"/>
      <c r="T52" s="159"/>
      <c r="U52" s="159"/>
      <c r="V52" s="159"/>
    </row>
    <row r="53" spans="1:22" ht="45" x14ac:dyDescent="0.2">
      <c r="A53" s="38">
        <v>37</v>
      </c>
      <c r="B53" s="39"/>
      <c r="C53" s="93" t="s">
        <v>490</v>
      </c>
      <c r="D53" s="25" t="s">
        <v>82</v>
      </c>
      <c r="E53" s="98">
        <v>10</v>
      </c>
      <c r="F53" s="65"/>
      <c r="G53" s="62"/>
      <c r="H53" s="47">
        <f t="shared" si="10"/>
        <v>0</v>
      </c>
      <c r="I53" s="62"/>
      <c r="J53" s="62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  <c r="Q53" s="104"/>
      <c r="R53" s="105"/>
    </row>
    <row r="54" spans="1:22" ht="45" x14ac:dyDescent="0.2">
      <c r="A54" s="38">
        <v>38</v>
      </c>
      <c r="B54" s="39"/>
      <c r="C54" s="93" t="s">
        <v>491</v>
      </c>
      <c r="D54" s="25" t="s">
        <v>82</v>
      </c>
      <c r="E54" s="98">
        <v>6</v>
      </c>
      <c r="F54" s="65"/>
      <c r="G54" s="62"/>
      <c r="H54" s="47">
        <f t="shared" si="10"/>
        <v>0</v>
      </c>
      <c r="I54" s="62"/>
      <c r="J54" s="62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  <c r="Q54" s="104"/>
      <c r="R54" s="105"/>
    </row>
    <row r="55" spans="1:22" x14ac:dyDescent="0.2">
      <c r="A55" s="38">
        <v>39</v>
      </c>
      <c r="B55" s="39"/>
      <c r="C55" s="93" t="s">
        <v>492</v>
      </c>
      <c r="D55" s="25" t="s">
        <v>95</v>
      </c>
      <c r="E55" s="98">
        <v>4</v>
      </c>
      <c r="F55" s="65"/>
      <c r="G55" s="62"/>
      <c r="H55" s="47">
        <f t="shared" si="10"/>
        <v>0</v>
      </c>
      <c r="I55" s="62"/>
      <c r="J55" s="62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22" x14ac:dyDescent="0.2">
      <c r="A56" s="38">
        <v>40</v>
      </c>
      <c r="B56" s="39"/>
      <c r="C56" s="93" t="s">
        <v>493</v>
      </c>
      <c r="D56" s="25" t="s">
        <v>68</v>
      </c>
      <c r="E56" s="98">
        <v>1</v>
      </c>
      <c r="F56" s="65"/>
      <c r="G56" s="62"/>
      <c r="H56" s="47">
        <f t="shared" si="10"/>
        <v>0</v>
      </c>
      <c r="I56" s="62"/>
      <c r="J56" s="62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22" x14ac:dyDescent="0.2">
      <c r="A57" s="38">
        <v>41</v>
      </c>
      <c r="B57" s="39"/>
      <c r="C57" s="93" t="s">
        <v>494</v>
      </c>
      <c r="D57" s="25" t="s">
        <v>68</v>
      </c>
      <c r="E57" s="98">
        <v>1</v>
      </c>
      <c r="F57" s="65"/>
      <c r="G57" s="62"/>
      <c r="H57" s="47">
        <f t="shared" si="10"/>
        <v>0</v>
      </c>
      <c r="I57" s="62"/>
      <c r="J57" s="62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22" x14ac:dyDescent="0.2">
      <c r="A58" s="38">
        <v>42</v>
      </c>
      <c r="B58" s="39"/>
      <c r="C58" s="93" t="s">
        <v>495</v>
      </c>
      <c r="D58" s="25" t="s">
        <v>68</v>
      </c>
      <c r="E58" s="98">
        <v>1</v>
      </c>
      <c r="F58" s="65"/>
      <c r="G58" s="62"/>
      <c r="H58" s="47">
        <f t="shared" si="10"/>
        <v>0</v>
      </c>
      <c r="I58" s="62"/>
      <c r="J58" s="62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22" x14ac:dyDescent="0.2">
      <c r="A59" s="94">
        <v>3</v>
      </c>
      <c r="B59" s="95"/>
      <c r="C59" s="96" t="s">
        <v>210</v>
      </c>
      <c r="D59" s="25"/>
      <c r="E59" s="98"/>
      <c r="F59" s="65"/>
      <c r="G59" s="62"/>
      <c r="H59" s="47"/>
      <c r="I59" s="62"/>
      <c r="J59" s="62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22" ht="12" thickBot="1" x14ac:dyDescent="0.25">
      <c r="A60" s="38">
        <v>1</v>
      </c>
      <c r="B60" s="39"/>
      <c r="C60" s="93" t="s">
        <v>386</v>
      </c>
      <c r="D60" s="25" t="s">
        <v>68</v>
      </c>
      <c r="E60" s="98">
        <v>1</v>
      </c>
      <c r="F60" s="65"/>
      <c r="G60" s="62"/>
      <c r="H60" s="47">
        <f t="shared" ref="H60" si="11">ROUND(F60*G60,2)</f>
        <v>0</v>
      </c>
      <c r="I60" s="62"/>
      <c r="J60" s="62">
        <f>ROUND(H60*0.07,2)</f>
        <v>0</v>
      </c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22" ht="12" customHeight="1" thickBot="1" x14ac:dyDescent="0.25">
      <c r="A61" s="156" t="s">
        <v>88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8"/>
      <c r="L61" s="66">
        <f>SUM(L14:L60)</f>
        <v>0</v>
      </c>
      <c r="M61" s="67">
        <f>SUM(M14:M60)</f>
        <v>0</v>
      </c>
      <c r="N61" s="67">
        <f>SUM(N14:N60)</f>
        <v>0</v>
      </c>
      <c r="O61" s="67">
        <f>SUM(O14:O60)</f>
        <v>0</v>
      </c>
      <c r="P61" s="68">
        <f>SUM(P14:P60)</f>
        <v>0</v>
      </c>
    </row>
    <row r="62" spans="1:22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22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22" ht="11.1" customHeight="1" x14ac:dyDescent="0.2">
      <c r="A64" s="1" t="s">
        <v>17</v>
      </c>
      <c r="B64" s="17"/>
      <c r="C64" s="107"/>
      <c r="D64" s="107"/>
      <c r="E64" s="107"/>
      <c r="F64" s="107"/>
      <c r="G64" s="107"/>
      <c r="H64" s="107"/>
      <c r="I64" s="17"/>
      <c r="J64" s="17"/>
      <c r="K64" s="17"/>
      <c r="L64" s="17"/>
      <c r="M64" s="17"/>
      <c r="N64" s="17"/>
      <c r="O64" s="17"/>
      <c r="P64" s="17"/>
    </row>
    <row r="65" spans="1:16" ht="11.1" customHeight="1" x14ac:dyDescent="0.2">
      <c r="A65" s="17"/>
      <c r="B65" s="17"/>
      <c r="C65" s="108" t="s">
        <v>18</v>
      </c>
      <c r="D65" s="108"/>
      <c r="E65" s="108"/>
      <c r="F65" s="108"/>
      <c r="G65" s="108"/>
      <c r="H65" s="108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" t="s">
        <v>19</v>
      </c>
      <c r="B68" s="17"/>
      <c r="C68" s="107"/>
      <c r="D68" s="107"/>
      <c r="E68" s="107"/>
      <c r="F68" s="107"/>
      <c r="G68" s="107"/>
      <c r="H68" s="107"/>
      <c r="I68" s="17"/>
      <c r="J68" s="17"/>
      <c r="K68" s="17"/>
      <c r="L68" s="17"/>
      <c r="M68" s="17"/>
      <c r="N68" s="17"/>
      <c r="O68" s="17"/>
      <c r="P68" s="17"/>
    </row>
    <row r="69" spans="1:16" ht="11.1" customHeight="1" x14ac:dyDescent="0.2">
      <c r="A69" s="17"/>
      <c r="B69" s="17"/>
      <c r="C69" s="108" t="s">
        <v>18</v>
      </c>
      <c r="D69" s="108"/>
      <c r="E69" s="108"/>
      <c r="F69" s="108"/>
      <c r="G69" s="108"/>
      <c r="H69" s="108"/>
      <c r="I69" s="17"/>
      <c r="J69" s="17"/>
      <c r="K69" s="17"/>
      <c r="L69" s="17"/>
      <c r="M69" s="17"/>
      <c r="N69" s="17"/>
      <c r="O69" s="17"/>
      <c r="P69" s="17"/>
    </row>
    <row r="70" spans="1:16" ht="11.1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85" t="s">
        <v>20</v>
      </c>
      <c r="B71" s="86"/>
      <c r="C71" s="90"/>
      <c r="D71" s="86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I73" s="17"/>
      <c r="J73" s="17"/>
      <c r="K73" s="17"/>
      <c r="L73" s="17"/>
      <c r="M73" s="17"/>
      <c r="N73" s="17"/>
      <c r="O73" s="17"/>
      <c r="P73" s="17"/>
    </row>
  </sheetData>
  <mergeCells count="24">
    <mergeCell ref="S51:V52"/>
    <mergeCell ref="C64:H64"/>
    <mergeCell ref="R32:T32"/>
    <mergeCell ref="C2:I2"/>
    <mergeCell ref="C3:I3"/>
    <mergeCell ref="D5:L5"/>
    <mergeCell ref="D6:L6"/>
    <mergeCell ref="D7:L7"/>
    <mergeCell ref="C4:I4"/>
    <mergeCell ref="D8:L8"/>
    <mergeCell ref="N9:O9"/>
    <mergeCell ref="C12:C13"/>
    <mergeCell ref="D12:D13"/>
    <mergeCell ref="E12:E13"/>
    <mergeCell ref="L12:P12"/>
    <mergeCell ref="A9:I9"/>
    <mergeCell ref="F12:K12"/>
    <mergeCell ref="J9:M9"/>
    <mergeCell ref="C69:H69"/>
    <mergeCell ref="C68:H68"/>
    <mergeCell ref="A61:K61"/>
    <mergeCell ref="A12:A13"/>
    <mergeCell ref="B12:B13"/>
    <mergeCell ref="C65:H65"/>
  </mergeCells>
  <conditionalFormatting sqref="I14:J60 A14:G60">
    <cfRule type="cellIs" dxfId="47" priority="35" operator="equal">
      <formula>0</formula>
    </cfRule>
  </conditionalFormatting>
  <conditionalFormatting sqref="N9:O9 K14:P60 H14:H60">
    <cfRule type="cellIs" dxfId="46" priority="34" operator="equal">
      <formula>0</formula>
    </cfRule>
  </conditionalFormatting>
  <conditionalFormatting sqref="C2:I2">
    <cfRule type="cellIs" dxfId="45" priority="31" operator="equal">
      <formula>0</formula>
    </cfRule>
  </conditionalFormatting>
  <conditionalFormatting sqref="O10">
    <cfRule type="cellIs" dxfId="44" priority="30" operator="equal">
      <formula>"20__. gada __. _________"</formula>
    </cfRule>
  </conditionalFormatting>
  <conditionalFormatting sqref="L61:P61">
    <cfRule type="cellIs" dxfId="43" priority="24" operator="equal">
      <formula>0</formula>
    </cfRule>
  </conditionalFormatting>
  <conditionalFormatting sqref="C4:I4">
    <cfRule type="cellIs" dxfId="42" priority="23" operator="equal">
      <formula>0</formula>
    </cfRule>
  </conditionalFormatting>
  <conditionalFormatting sqref="D5:L8">
    <cfRule type="cellIs" dxfId="41" priority="20" operator="equal">
      <formula>0</formula>
    </cfRule>
  </conditionalFormatting>
  <conditionalFormatting sqref="P10">
    <cfRule type="cellIs" dxfId="40" priority="16" operator="equal">
      <formula>"20__. gada __. _________"</formula>
    </cfRule>
  </conditionalFormatting>
  <conditionalFormatting sqref="D1">
    <cfRule type="cellIs" dxfId="39" priority="10" operator="equal">
      <formula>0</formula>
    </cfRule>
  </conditionalFormatting>
  <conditionalFormatting sqref="A9">
    <cfRule type="containsText" dxfId="38" priority="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1:K61">
    <cfRule type="containsText" dxfId="37" priority="5" operator="containsText" text="Tiešās izmaksas kopā, t. sk. darba devēja sociālais nodoklis __.__% ">
      <formula>NOT(ISERROR(SEARCH("Tiešās izmaksas kopā, t. sk. darba devēja sociālais nodoklis __.__% ",A61)))</formula>
    </cfRule>
  </conditionalFormatting>
  <conditionalFormatting sqref="C68:H68">
    <cfRule type="cellIs" dxfId="36" priority="4" operator="equal">
      <formula>0</formula>
    </cfRule>
  </conditionalFormatting>
  <conditionalFormatting sqref="C64:H64">
    <cfRule type="cellIs" dxfId="35" priority="3" operator="equal">
      <formula>0</formula>
    </cfRule>
  </conditionalFormatting>
  <conditionalFormatting sqref="C71">
    <cfRule type="cellIs" dxfId="3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71554B2-C2BE-6546-B983-42F328811B88}">
            <xm:f>NOT(ISERROR(SEARCH("Sertifikāta Nr. _________________________________",A71)))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</sheetPr>
  <dimension ref="A1:P52"/>
  <sheetViews>
    <sheetView workbookViewId="0">
      <selection activeCell="I14" sqref="I14:J39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42</v>
      </c>
      <c r="D1" s="50">
        <f>'Kops a'!A25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496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1" t="s">
        <v>22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61"/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x14ac:dyDescent="0.2">
      <c r="A6" s="23"/>
      <c r="B6" s="23"/>
      <c r="C6" s="27" t="s">
        <v>7</v>
      </c>
      <c r="D6" s="173" t="str">
        <f>'Kops a'!D7</f>
        <v>Daudzdzīvokļu dzīvojamās mājas, Dakteru ielā 24, Smiltenē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9</v>
      </c>
      <c r="D7" s="173" t="str">
        <f>'Kops a'!D8</f>
        <v>Dakteru iela 24, Smiltene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25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44</v>
      </c>
      <c r="B9" s="159"/>
      <c r="C9" s="159"/>
      <c r="D9" s="159"/>
      <c r="E9" s="159"/>
      <c r="F9" s="159"/>
      <c r="G9" s="159"/>
      <c r="H9" s="159"/>
      <c r="I9" s="159"/>
      <c r="J9" s="165" t="s">
        <v>45</v>
      </c>
      <c r="K9" s="165"/>
      <c r="L9" s="165"/>
      <c r="M9" s="165"/>
      <c r="N9" s="172">
        <f>P40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>
        <f>A46</f>
        <v>0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9" t="s">
        <v>28</v>
      </c>
      <c r="B12" s="167" t="s">
        <v>46</v>
      </c>
      <c r="C12" s="163" t="s">
        <v>47</v>
      </c>
      <c r="D12" s="170" t="s">
        <v>48</v>
      </c>
      <c r="E12" s="154" t="s">
        <v>49</v>
      </c>
      <c r="F12" s="162" t="s">
        <v>50</v>
      </c>
      <c r="G12" s="163"/>
      <c r="H12" s="163"/>
      <c r="I12" s="163"/>
      <c r="J12" s="163"/>
      <c r="K12" s="164"/>
      <c r="L12" s="162" t="s">
        <v>51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5"/>
      <c r="F13" s="36" t="s">
        <v>52</v>
      </c>
      <c r="G13" s="37" t="s">
        <v>53</v>
      </c>
      <c r="H13" s="37" t="s">
        <v>54</v>
      </c>
      <c r="I13" s="37" t="s">
        <v>55</v>
      </c>
      <c r="J13" s="37" t="s">
        <v>56</v>
      </c>
      <c r="K13" s="61" t="s">
        <v>57</v>
      </c>
      <c r="L13" s="36" t="s">
        <v>52</v>
      </c>
      <c r="M13" s="37" t="s">
        <v>54</v>
      </c>
      <c r="N13" s="37" t="s">
        <v>55</v>
      </c>
      <c r="O13" s="37" t="s">
        <v>56</v>
      </c>
      <c r="P13" s="61" t="s">
        <v>57</v>
      </c>
    </row>
    <row r="14" spans="1:16" x14ac:dyDescent="0.2">
      <c r="A14" s="94">
        <v>1</v>
      </c>
      <c r="B14" s="95"/>
      <c r="C14" s="96" t="s">
        <v>496</v>
      </c>
      <c r="D14" s="25"/>
      <c r="E14" s="98"/>
      <c r="F14" s="65"/>
      <c r="G14" s="62"/>
      <c r="H14" s="47"/>
      <c r="I14" s="62"/>
      <c r="J14" s="62"/>
      <c r="K14" s="63">
        <f>SUM(H14:J14)</f>
        <v>0</v>
      </c>
      <c r="L14" s="65">
        <f>ROUND(E14*F14,2)</f>
        <v>0</v>
      </c>
      <c r="M14" s="62">
        <f>ROUND(H14*E14,2)</f>
        <v>0</v>
      </c>
      <c r="N14" s="62">
        <f>ROUND(I14*E14,2)</f>
        <v>0</v>
      </c>
      <c r="O14" s="62">
        <f>ROUND(J14*E14,2)</f>
        <v>0</v>
      </c>
      <c r="P14" s="63">
        <f>SUM(M14:O14)</f>
        <v>0</v>
      </c>
    </row>
    <row r="15" spans="1:16" x14ac:dyDescent="0.2">
      <c r="A15" s="38">
        <v>1</v>
      </c>
      <c r="B15" s="39"/>
      <c r="C15" s="93" t="s">
        <v>497</v>
      </c>
      <c r="D15" s="25" t="s">
        <v>242</v>
      </c>
      <c r="E15" s="98">
        <v>12</v>
      </c>
      <c r="F15" s="65"/>
      <c r="G15" s="62"/>
      <c r="H15" s="47">
        <f t="shared" ref="H15:H34" si="0">ROUND(F15*G15,2)</f>
        <v>0</v>
      </c>
      <c r="I15" s="62"/>
      <c r="J15" s="62"/>
      <c r="K15" s="48">
        <f t="shared" ref="K15:K32" si="1">SUM(H15:J15)</f>
        <v>0</v>
      </c>
      <c r="L15" s="49">
        <f t="shared" ref="L15:L32" si="2">ROUND(E15*F15,2)</f>
        <v>0</v>
      </c>
      <c r="M15" s="47">
        <f t="shared" ref="M15:M32" si="3">ROUND(H15*E15,2)</f>
        <v>0</v>
      </c>
      <c r="N15" s="47">
        <f t="shared" ref="N15:N32" si="4">ROUND(I15*E15,2)</f>
        <v>0</v>
      </c>
      <c r="O15" s="47">
        <f t="shared" ref="O15:O32" si="5">ROUND(J15*E15,2)</f>
        <v>0</v>
      </c>
      <c r="P15" s="48">
        <f t="shared" ref="P15:P32" si="6">SUM(M15:O15)</f>
        <v>0</v>
      </c>
    </row>
    <row r="16" spans="1:16" x14ac:dyDescent="0.2">
      <c r="A16" s="38">
        <v>2</v>
      </c>
      <c r="B16" s="39"/>
      <c r="C16" s="93" t="s">
        <v>498</v>
      </c>
      <c r="D16" s="25" t="s">
        <v>242</v>
      </c>
      <c r="E16" s="98">
        <v>80</v>
      </c>
      <c r="F16" s="65"/>
      <c r="G16" s="62"/>
      <c r="H16" s="47">
        <f t="shared" si="0"/>
        <v>0</v>
      </c>
      <c r="I16" s="62"/>
      <c r="J16" s="62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22.5" x14ac:dyDescent="0.2">
      <c r="A17" s="38">
        <v>3</v>
      </c>
      <c r="B17" s="39"/>
      <c r="C17" s="93" t="s">
        <v>499</v>
      </c>
      <c r="D17" s="25" t="s">
        <v>82</v>
      </c>
      <c r="E17" s="98">
        <v>418</v>
      </c>
      <c r="F17" s="65"/>
      <c r="G17" s="62"/>
      <c r="H17" s="47">
        <f t="shared" si="0"/>
        <v>0</v>
      </c>
      <c r="I17" s="62"/>
      <c r="J17" s="62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4</v>
      </c>
      <c r="B18" s="39"/>
      <c r="C18" s="93" t="s">
        <v>500</v>
      </c>
      <c r="D18" s="25" t="s">
        <v>242</v>
      </c>
      <c r="E18" s="98">
        <v>300</v>
      </c>
      <c r="F18" s="65"/>
      <c r="G18" s="62"/>
      <c r="H18" s="47">
        <f t="shared" si="0"/>
        <v>0</v>
      </c>
      <c r="I18" s="62"/>
      <c r="J18" s="62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5</v>
      </c>
      <c r="B19" s="39"/>
      <c r="C19" s="93" t="s">
        <v>501</v>
      </c>
      <c r="D19" s="25" t="s">
        <v>242</v>
      </c>
      <c r="E19" s="98">
        <v>30</v>
      </c>
      <c r="F19" s="65"/>
      <c r="G19" s="62"/>
      <c r="H19" s="47">
        <f t="shared" si="0"/>
        <v>0</v>
      </c>
      <c r="I19" s="62"/>
      <c r="J19" s="62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2.5" x14ac:dyDescent="0.2">
      <c r="A20" s="38">
        <v>6</v>
      </c>
      <c r="B20" s="39"/>
      <c r="C20" s="93" t="s">
        <v>502</v>
      </c>
      <c r="D20" s="25" t="s">
        <v>242</v>
      </c>
      <c r="E20" s="98">
        <v>25</v>
      </c>
      <c r="F20" s="65"/>
      <c r="G20" s="62"/>
      <c r="H20" s="47">
        <f t="shared" si="0"/>
        <v>0</v>
      </c>
      <c r="I20" s="62"/>
      <c r="J20" s="62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2.5" x14ac:dyDescent="0.2">
      <c r="A21" s="38">
        <v>7</v>
      </c>
      <c r="B21" s="39"/>
      <c r="C21" s="93" t="s">
        <v>503</v>
      </c>
      <c r="D21" s="25" t="s">
        <v>242</v>
      </c>
      <c r="E21" s="98">
        <v>72</v>
      </c>
      <c r="F21" s="65"/>
      <c r="G21" s="62"/>
      <c r="H21" s="47">
        <f t="shared" si="0"/>
        <v>0</v>
      </c>
      <c r="I21" s="62"/>
      <c r="J21" s="62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2.5" x14ac:dyDescent="0.2">
      <c r="A22" s="38">
        <v>8</v>
      </c>
      <c r="B22" s="39"/>
      <c r="C22" s="93" t="s">
        <v>504</v>
      </c>
      <c r="D22" s="25" t="s">
        <v>242</v>
      </c>
      <c r="E22" s="98">
        <v>9</v>
      </c>
      <c r="F22" s="65"/>
      <c r="G22" s="62"/>
      <c r="H22" s="47">
        <f t="shared" si="0"/>
        <v>0</v>
      </c>
      <c r="I22" s="62"/>
      <c r="J22" s="62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>
        <v>9</v>
      </c>
      <c r="B23" s="39"/>
      <c r="C23" s="93" t="s">
        <v>505</v>
      </c>
      <c r="D23" s="25" t="s">
        <v>506</v>
      </c>
      <c r="E23" s="98">
        <v>9</v>
      </c>
      <c r="F23" s="65"/>
      <c r="G23" s="62"/>
      <c r="H23" s="47">
        <f t="shared" si="0"/>
        <v>0</v>
      </c>
      <c r="I23" s="62"/>
      <c r="J23" s="62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2.5" x14ac:dyDescent="0.2">
      <c r="A24" s="38">
        <v>10</v>
      </c>
      <c r="B24" s="39"/>
      <c r="C24" s="93" t="s">
        <v>507</v>
      </c>
      <c r="D24" s="25" t="s">
        <v>82</v>
      </c>
      <c r="E24" s="98">
        <v>157</v>
      </c>
      <c r="F24" s="65"/>
      <c r="G24" s="62"/>
      <c r="H24" s="47">
        <f t="shared" si="0"/>
        <v>0</v>
      </c>
      <c r="I24" s="62"/>
      <c r="J24" s="62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11</v>
      </c>
      <c r="B25" s="39"/>
      <c r="C25" s="93" t="s">
        <v>508</v>
      </c>
      <c r="D25" s="25" t="s">
        <v>242</v>
      </c>
      <c r="E25" s="98">
        <v>23</v>
      </c>
      <c r="F25" s="65"/>
      <c r="G25" s="62"/>
      <c r="H25" s="47">
        <f t="shared" si="0"/>
        <v>0</v>
      </c>
      <c r="I25" s="62"/>
      <c r="J25" s="62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12</v>
      </c>
      <c r="B26" s="39"/>
      <c r="C26" s="93" t="s">
        <v>509</v>
      </c>
      <c r="D26" s="25" t="s">
        <v>242</v>
      </c>
      <c r="E26" s="98">
        <v>23</v>
      </c>
      <c r="F26" s="65"/>
      <c r="G26" s="62"/>
      <c r="H26" s="47">
        <f t="shared" si="0"/>
        <v>0</v>
      </c>
      <c r="I26" s="62"/>
      <c r="J26" s="62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2.5" x14ac:dyDescent="0.2">
      <c r="A27" s="38">
        <v>13</v>
      </c>
      <c r="B27" s="39"/>
      <c r="C27" s="93" t="s">
        <v>510</v>
      </c>
      <c r="D27" s="25" t="s">
        <v>242</v>
      </c>
      <c r="E27" s="98">
        <v>1</v>
      </c>
      <c r="F27" s="65"/>
      <c r="G27" s="62"/>
      <c r="H27" s="47">
        <f t="shared" si="0"/>
        <v>0</v>
      </c>
      <c r="I27" s="62"/>
      <c r="J27" s="62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2.5" x14ac:dyDescent="0.2">
      <c r="A28" s="38">
        <v>14</v>
      </c>
      <c r="B28" s="39"/>
      <c r="C28" s="93" t="s">
        <v>511</v>
      </c>
      <c r="D28" s="25" t="s">
        <v>242</v>
      </c>
      <c r="E28" s="98">
        <v>23</v>
      </c>
      <c r="F28" s="65"/>
      <c r="G28" s="62"/>
      <c r="H28" s="47">
        <f t="shared" si="0"/>
        <v>0</v>
      </c>
      <c r="I28" s="62"/>
      <c r="J28" s="62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2.5" x14ac:dyDescent="0.2">
      <c r="A29" s="38">
        <v>15</v>
      </c>
      <c r="B29" s="39"/>
      <c r="C29" s="93" t="s">
        <v>512</v>
      </c>
      <c r="D29" s="25" t="s">
        <v>82</v>
      </c>
      <c r="E29" s="98">
        <v>69</v>
      </c>
      <c r="F29" s="65"/>
      <c r="G29" s="62"/>
      <c r="H29" s="47">
        <f t="shared" si="0"/>
        <v>0</v>
      </c>
      <c r="I29" s="62"/>
      <c r="J29" s="62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2.5" x14ac:dyDescent="0.2">
      <c r="A30" s="38">
        <v>16</v>
      </c>
      <c r="B30" s="39"/>
      <c r="C30" s="93" t="s">
        <v>513</v>
      </c>
      <c r="D30" s="25" t="s">
        <v>242</v>
      </c>
      <c r="E30" s="98">
        <v>10</v>
      </c>
      <c r="F30" s="65"/>
      <c r="G30" s="62"/>
      <c r="H30" s="47">
        <f t="shared" si="0"/>
        <v>0</v>
      </c>
      <c r="I30" s="62"/>
      <c r="J30" s="62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2.5" x14ac:dyDescent="0.2">
      <c r="A31" s="38">
        <v>17</v>
      </c>
      <c r="B31" s="39"/>
      <c r="C31" s="93" t="s">
        <v>514</v>
      </c>
      <c r="D31" s="25" t="s">
        <v>242</v>
      </c>
      <c r="E31" s="98">
        <v>12</v>
      </c>
      <c r="F31" s="65"/>
      <c r="G31" s="62"/>
      <c r="H31" s="47">
        <f t="shared" si="0"/>
        <v>0</v>
      </c>
      <c r="I31" s="62"/>
      <c r="J31" s="62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2.5" x14ac:dyDescent="0.2">
      <c r="A32" s="38">
        <v>18</v>
      </c>
      <c r="B32" s="39"/>
      <c r="C32" s="93" t="s">
        <v>515</v>
      </c>
      <c r="D32" s="25" t="s">
        <v>242</v>
      </c>
      <c r="E32" s="98">
        <v>2</v>
      </c>
      <c r="F32" s="65"/>
      <c r="G32" s="62"/>
      <c r="H32" s="47">
        <f t="shared" si="0"/>
        <v>0</v>
      </c>
      <c r="I32" s="62"/>
      <c r="J32" s="62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2.5" x14ac:dyDescent="0.2">
      <c r="A33" s="38">
        <v>19</v>
      </c>
      <c r="B33" s="39"/>
      <c r="C33" s="93" t="s">
        <v>516</v>
      </c>
      <c r="D33" s="25" t="s">
        <v>82</v>
      </c>
      <c r="E33" s="98">
        <v>36</v>
      </c>
      <c r="F33" s="65"/>
      <c r="G33" s="62"/>
      <c r="H33" s="47">
        <f t="shared" si="0"/>
        <v>0</v>
      </c>
      <c r="I33" s="62"/>
      <c r="J33" s="62"/>
      <c r="K33" s="48">
        <f t="shared" ref="K33:K39" si="7">SUM(H33:J33)</f>
        <v>0</v>
      </c>
      <c r="L33" s="49">
        <f t="shared" ref="L33:L39" si="8">ROUND(E33*F33,2)</f>
        <v>0</v>
      </c>
      <c r="M33" s="47">
        <f t="shared" ref="M33:M39" si="9">ROUND(H33*E33,2)</f>
        <v>0</v>
      </c>
      <c r="N33" s="47">
        <f t="shared" ref="N33:N39" si="10">ROUND(I33*E33,2)</f>
        <v>0</v>
      </c>
      <c r="O33" s="47">
        <f t="shared" ref="O33:O39" si="11">ROUND(J33*E33,2)</f>
        <v>0</v>
      </c>
      <c r="P33" s="48">
        <f t="shared" ref="P33:P39" si="12">SUM(M33:O33)</f>
        <v>0</v>
      </c>
    </row>
    <row r="34" spans="1:16" x14ac:dyDescent="0.2">
      <c r="A34" s="38">
        <v>20</v>
      </c>
      <c r="B34" s="39"/>
      <c r="C34" s="93" t="s">
        <v>517</v>
      </c>
      <c r="D34" s="25" t="s">
        <v>82</v>
      </c>
      <c r="E34" s="98">
        <v>140</v>
      </c>
      <c r="F34" s="65"/>
      <c r="G34" s="62"/>
      <c r="H34" s="47">
        <f t="shared" si="0"/>
        <v>0</v>
      </c>
      <c r="I34" s="62"/>
      <c r="J34" s="62"/>
      <c r="K34" s="48">
        <f t="shared" si="7"/>
        <v>0</v>
      </c>
      <c r="L34" s="49">
        <f t="shared" si="8"/>
        <v>0</v>
      </c>
      <c r="M34" s="47">
        <f t="shared" si="9"/>
        <v>0</v>
      </c>
      <c r="N34" s="47">
        <f t="shared" si="10"/>
        <v>0</v>
      </c>
      <c r="O34" s="47">
        <f t="shared" si="11"/>
        <v>0</v>
      </c>
      <c r="P34" s="48">
        <f t="shared" si="12"/>
        <v>0</v>
      </c>
    </row>
    <row r="35" spans="1:16" x14ac:dyDescent="0.2">
      <c r="A35" s="38">
        <v>21</v>
      </c>
      <c r="B35" s="39"/>
      <c r="C35" s="93" t="s">
        <v>518</v>
      </c>
      <c r="D35" s="25" t="s">
        <v>506</v>
      </c>
      <c r="E35" s="98">
        <v>1</v>
      </c>
      <c r="F35" s="65"/>
      <c r="G35" s="62"/>
      <c r="H35" s="47">
        <f>ROUND(F35*G35,2)</f>
        <v>0</v>
      </c>
      <c r="I35" s="62"/>
      <c r="J35" s="62"/>
      <c r="K35" s="48">
        <f t="shared" si="7"/>
        <v>0</v>
      </c>
      <c r="L35" s="49">
        <f t="shared" si="8"/>
        <v>0</v>
      </c>
      <c r="M35" s="47">
        <f t="shared" si="9"/>
        <v>0</v>
      </c>
      <c r="N35" s="47">
        <f t="shared" si="10"/>
        <v>0</v>
      </c>
      <c r="O35" s="47">
        <f t="shared" si="11"/>
        <v>0</v>
      </c>
      <c r="P35" s="48">
        <f t="shared" si="12"/>
        <v>0</v>
      </c>
    </row>
    <row r="36" spans="1:16" x14ac:dyDescent="0.2">
      <c r="A36" s="94">
        <v>2</v>
      </c>
      <c r="B36" s="95"/>
      <c r="C36" s="96" t="s">
        <v>210</v>
      </c>
      <c r="D36" s="25"/>
      <c r="E36" s="98"/>
      <c r="F36" s="65"/>
      <c r="G36" s="62"/>
      <c r="H36" s="47"/>
      <c r="I36" s="62"/>
      <c r="J36" s="62"/>
      <c r="K36" s="48">
        <f t="shared" si="7"/>
        <v>0</v>
      </c>
      <c r="L36" s="49">
        <f t="shared" si="8"/>
        <v>0</v>
      </c>
      <c r="M36" s="47">
        <f t="shared" si="9"/>
        <v>0</v>
      </c>
      <c r="N36" s="47">
        <f t="shared" si="10"/>
        <v>0</v>
      </c>
      <c r="O36" s="47">
        <f t="shared" si="11"/>
        <v>0</v>
      </c>
      <c r="P36" s="48">
        <f t="shared" si="12"/>
        <v>0</v>
      </c>
    </row>
    <row r="37" spans="1:16" x14ac:dyDescent="0.2">
      <c r="A37" s="38">
        <v>1</v>
      </c>
      <c r="B37" s="39"/>
      <c r="C37" s="93" t="s">
        <v>519</v>
      </c>
      <c r="D37" s="25" t="s">
        <v>82</v>
      </c>
      <c r="E37" s="98">
        <v>140</v>
      </c>
      <c r="F37" s="65"/>
      <c r="G37" s="62"/>
      <c r="H37" s="47">
        <f t="shared" ref="H37:H39" si="13">ROUND(F37*G37,2)</f>
        <v>0</v>
      </c>
      <c r="I37" s="62"/>
      <c r="J37" s="62"/>
      <c r="K37" s="48">
        <f t="shared" si="7"/>
        <v>0</v>
      </c>
      <c r="L37" s="49">
        <f t="shared" si="8"/>
        <v>0</v>
      </c>
      <c r="M37" s="47">
        <f t="shared" si="9"/>
        <v>0</v>
      </c>
      <c r="N37" s="47">
        <f t="shared" si="10"/>
        <v>0</v>
      </c>
      <c r="O37" s="47">
        <f t="shared" si="11"/>
        <v>0</v>
      </c>
      <c r="P37" s="48">
        <f t="shared" si="12"/>
        <v>0</v>
      </c>
    </row>
    <row r="38" spans="1:16" x14ac:dyDescent="0.2">
      <c r="A38" s="38">
        <v>2</v>
      </c>
      <c r="B38" s="39"/>
      <c r="C38" s="93" t="s">
        <v>520</v>
      </c>
      <c r="D38" s="25" t="s">
        <v>506</v>
      </c>
      <c r="E38" s="98">
        <v>1</v>
      </c>
      <c r="F38" s="65"/>
      <c r="G38" s="62"/>
      <c r="H38" s="47">
        <f t="shared" si="13"/>
        <v>0</v>
      </c>
      <c r="I38" s="62"/>
      <c r="J38" s="62"/>
      <c r="K38" s="48">
        <f t="shared" si="7"/>
        <v>0</v>
      </c>
      <c r="L38" s="49">
        <f t="shared" si="8"/>
        <v>0</v>
      </c>
      <c r="M38" s="47">
        <f t="shared" si="9"/>
        <v>0</v>
      </c>
      <c r="N38" s="47">
        <f t="shared" si="10"/>
        <v>0</v>
      </c>
      <c r="O38" s="47">
        <f t="shared" si="11"/>
        <v>0</v>
      </c>
      <c r="P38" s="48">
        <f t="shared" si="12"/>
        <v>0</v>
      </c>
    </row>
    <row r="39" spans="1:16" ht="12" thickBot="1" x14ac:dyDescent="0.25">
      <c r="A39" s="38">
        <v>3</v>
      </c>
      <c r="B39" s="39"/>
      <c r="C39" s="93" t="s">
        <v>521</v>
      </c>
      <c r="D39" s="25" t="s">
        <v>506</v>
      </c>
      <c r="E39" s="98">
        <v>1</v>
      </c>
      <c r="F39" s="65"/>
      <c r="G39" s="62"/>
      <c r="H39" s="47">
        <f t="shared" si="13"/>
        <v>0</v>
      </c>
      <c r="I39" s="62"/>
      <c r="J39" s="62"/>
      <c r="K39" s="48">
        <f t="shared" si="7"/>
        <v>0</v>
      </c>
      <c r="L39" s="49">
        <f t="shared" si="8"/>
        <v>0</v>
      </c>
      <c r="M39" s="47">
        <f t="shared" si="9"/>
        <v>0</v>
      </c>
      <c r="N39" s="47">
        <f t="shared" si="10"/>
        <v>0</v>
      </c>
      <c r="O39" s="47">
        <f t="shared" si="11"/>
        <v>0</v>
      </c>
      <c r="P39" s="48">
        <f t="shared" si="12"/>
        <v>0</v>
      </c>
    </row>
    <row r="40" spans="1:16" ht="12" customHeight="1" thickBot="1" x14ac:dyDescent="0.25">
      <c r="A40" s="156" t="s">
        <v>88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66">
        <f>SUM(L14:L39)</f>
        <v>0</v>
      </c>
      <c r="M40" s="67">
        <f>SUM(M14:M39)</f>
        <v>0</v>
      </c>
      <c r="N40" s="67">
        <f>SUM(N14:N39)</f>
        <v>0</v>
      </c>
      <c r="O40" s="67">
        <f>SUM(O14:O39)</f>
        <v>0</v>
      </c>
      <c r="P40" s="68">
        <f>SUM(P14:P39)</f>
        <v>0</v>
      </c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1.1" customHeight="1" x14ac:dyDescent="0.2">
      <c r="A43" s="1" t="s">
        <v>17</v>
      </c>
      <c r="B43" s="17"/>
      <c r="C43" s="107"/>
      <c r="D43" s="107"/>
      <c r="E43" s="107"/>
      <c r="F43" s="107"/>
      <c r="G43" s="107"/>
      <c r="H43" s="107"/>
      <c r="I43" s="17"/>
      <c r="J43" s="17"/>
      <c r="K43" s="17"/>
      <c r="L43" s="17"/>
      <c r="M43" s="17"/>
      <c r="N43" s="17"/>
      <c r="O43" s="17"/>
      <c r="P43" s="17"/>
    </row>
    <row r="44" spans="1:16" ht="11.1" customHeight="1" x14ac:dyDescent="0.2">
      <c r="A44" s="17"/>
      <c r="B44" s="17"/>
      <c r="C44" s="108" t="s">
        <v>18</v>
      </c>
      <c r="D44" s="108"/>
      <c r="E44" s="108"/>
      <c r="F44" s="108"/>
      <c r="G44" s="108"/>
      <c r="H44" s="108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" t="s">
        <v>19</v>
      </c>
      <c r="B47" s="17"/>
      <c r="C47" s="107"/>
      <c r="D47" s="107"/>
      <c r="E47" s="107"/>
      <c r="F47" s="107"/>
      <c r="G47" s="107"/>
      <c r="H47" s="107"/>
      <c r="I47" s="17"/>
      <c r="J47" s="17"/>
      <c r="K47" s="17"/>
      <c r="L47" s="17"/>
      <c r="M47" s="17"/>
      <c r="N47" s="17"/>
      <c r="O47" s="17"/>
      <c r="P47" s="17"/>
    </row>
    <row r="48" spans="1:16" ht="11.1" customHeight="1" x14ac:dyDescent="0.2">
      <c r="A48" s="17"/>
      <c r="B48" s="17"/>
      <c r="C48" s="108" t="s">
        <v>18</v>
      </c>
      <c r="D48" s="108"/>
      <c r="E48" s="108"/>
      <c r="F48" s="108"/>
      <c r="G48" s="108"/>
      <c r="H48" s="108"/>
      <c r="I48" s="17"/>
      <c r="J48" s="17"/>
      <c r="K48" s="17"/>
      <c r="L48" s="17"/>
      <c r="M48" s="17"/>
      <c r="N48" s="17"/>
      <c r="O48" s="17"/>
      <c r="P48" s="17"/>
    </row>
    <row r="49" spans="1:16" ht="11.1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85" t="s">
        <v>20</v>
      </c>
      <c r="B50" s="86"/>
      <c r="C50" s="90"/>
      <c r="D50" s="8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I52" s="17"/>
      <c r="J52" s="17"/>
      <c r="K52" s="17"/>
      <c r="L52" s="17"/>
      <c r="M52" s="17"/>
      <c r="N52" s="17"/>
      <c r="O52" s="17"/>
      <c r="P52" s="17"/>
    </row>
  </sheetData>
  <mergeCells count="22">
    <mergeCell ref="C2:I2"/>
    <mergeCell ref="C3:I3"/>
    <mergeCell ref="D5:L5"/>
    <mergeCell ref="D6:L6"/>
    <mergeCell ref="D7:L7"/>
    <mergeCell ref="C4:I4"/>
    <mergeCell ref="C44:H44"/>
    <mergeCell ref="C48:H48"/>
    <mergeCell ref="C47:H47"/>
    <mergeCell ref="N9:O9"/>
    <mergeCell ref="C12:C13"/>
    <mergeCell ref="D12:D13"/>
    <mergeCell ref="E12:E13"/>
    <mergeCell ref="L12:P12"/>
    <mergeCell ref="A9:I9"/>
    <mergeCell ref="F12:K12"/>
    <mergeCell ref="J9:M9"/>
    <mergeCell ref="D8:L8"/>
    <mergeCell ref="A40:K40"/>
    <mergeCell ref="A12:A13"/>
    <mergeCell ref="B12:B13"/>
    <mergeCell ref="C43:H43"/>
  </mergeCells>
  <conditionalFormatting sqref="N9:O9 K14:P39 H33:H39">
    <cfRule type="cellIs" dxfId="32" priority="37" operator="equal">
      <formula>0</formula>
    </cfRule>
  </conditionalFormatting>
  <conditionalFormatting sqref="C2:I2">
    <cfRule type="cellIs" dxfId="31" priority="34" operator="equal">
      <formula>0</formula>
    </cfRule>
  </conditionalFormatting>
  <conditionalFormatting sqref="O10">
    <cfRule type="cellIs" dxfId="30" priority="33" operator="equal">
      <formula>"20__. gada __. _________"</formula>
    </cfRule>
  </conditionalFormatting>
  <conditionalFormatting sqref="L40:P40">
    <cfRule type="cellIs" dxfId="29" priority="27" operator="equal">
      <formula>0</formula>
    </cfRule>
  </conditionalFormatting>
  <conditionalFormatting sqref="C4:I4">
    <cfRule type="cellIs" dxfId="28" priority="26" operator="equal">
      <formula>0</formula>
    </cfRule>
  </conditionalFormatting>
  <conditionalFormatting sqref="D5:L8">
    <cfRule type="cellIs" dxfId="27" priority="23" operator="equal">
      <formula>0</formula>
    </cfRule>
  </conditionalFormatting>
  <conditionalFormatting sqref="A36:G39 I33:J39 B33:G35">
    <cfRule type="cellIs" dxfId="26" priority="16" operator="equal">
      <formula>0</formula>
    </cfRule>
  </conditionalFormatting>
  <conditionalFormatting sqref="P10">
    <cfRule type="cellIs" dxfId="25" priority="19" operator="equal">
      <formula>"20__. gada __. _________"</formula>
    </cfRule>
  </conditionalFormatting>
  <conditionalFormatting sqref="I14:J32 D14:G32 A14:B31 B32 A32:A35">
    <cfRule type="cellIs" dxfId="24" priority="11" operator="equal">
      <formula>0</formula>
    </cfRule>
  </conditionalFormatting>
  <conditionalFormatting sqref="H14:H32">
    <cfRule type="cellIs" dxfId="23" priority="10" operator="equal">
      <formula>0</formula>
    </cfRule>
  </conditionalFormatting>
  <conditionalFormatting sqref="D1">
    <cfRule type="cellIs" dxfId="22" priority="13" operator="equal">
      <formula>0</formula>
    </cfRule>
  </conditionalFormatting>
  <conditionalFormatting sqref="A9">
    <cfRule type="containsText" dxfId="21" priority="1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14:C32">
    <cfRule type="cellIs" dxfId="20" priority="9" operator="equal">
      <formula>0</formula>
    </cfRule>
  </conditionalFormatting>
  <conditionalFormatting sqref="A40:K40">
    <cfRule type="containsText" dxfId="19" priority="8" operator="containsText" text="Tiešās izmaksas kopā, t. sk. darba devēja sociālais nodoklis __.__% ">
      <formula>NOT(ISERROR(SEARCH("Tiešās izmaksas kopā, t. sk. darba devēja sociālais nodoklis __.__% ",A40)))</formula>
    </cfRule>
  </conditionalFormatting>
  <conditionalFormatting sqref="C47:H47">
    <cfRule type="cellIs" dxfId="18" priority="4" operator="equal">
      <formula>0</formula>
    </cfRule>
  </conditionalFormatting>
  <conditionalFormatting sqref="C43:H43">
    <cfRule type="cellIs" dxfId="17" priority="3" operator="equal">
      <formula>0</formula>
    </cfRule>
  </conditionalFormatting>
  <conditionalFormatting sqref="C50">
    <cfRule type="cellIs" dxfId="16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9273DEE2-7D34-3048-A681-C59495739CDE}">
            <xm:f>NOT(ISERROR(SEARCH("Sertifikāta Nr. _________________________________",A50)))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2D050"/>
  </sheetPr>
  <dimension ref="A1:P47"/>
  <sheetViews>
    <sheetView workbookViewId="0">
      <selection activeCell="E19" sqref="E19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42</v>
      </c>
      <c r="D1" s="50">
        <f>'Kops a'!A26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522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1" t="s">
        <v>22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61"/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x14ac:dyDescent="0.2">
      <c r="A6" s="23"/>
      <c r="B6" s="23"/>
      <c r="C6" s="27" t="s">
        <v>7</v>
      </c>
      <c r="D6" s="173" t="str">
        <f>'Kops a'!D7</f>
        <v>Daudzdzīvokļu dzīvojamās mājas, Dakteru ielā 24, Smiltenē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9</v>
      </c>
      <c r="D7" s="173" t="str">
        <f>'Kops a'!D8</f>
        <v>Dakteru iela 24, Smiltene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25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44</v>
      </c>
      <c r="B9" s="159"/>
      <c r="C9" s="159"/>
      <c r="D9" s="159"/>
      <c r="E9" s="159"/>
      <c r="F9" s="159"/>
      <c r="G9" s="159"/>
      <c r="H9" s="159"/>
      <c r="I9" s="159"/>
      <c r="J9" s="165" t="s">
        <v>45</v>
      </c>
      <c r="K9" s="165"/>
      <c r="L9" s="165"/>
      <c r="M9" s="165"/>
      <c r="N9" s="172">
        <f>P35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>
        <f>A41</f>
        <v>0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9" t="s">
        <v>28</v>
      </c>
      <c r="B12" s="167" t="s">
        <v>46</v>
      </c>
      <c r="C12" s="163" t="s">
        <v>47</v>
      </c>
      <c r="D12" s="170" t="s">
        <v>48</v>
      </c>
      <c r="E12" s="154" t="s">
        <v>49</v>
      </c>
      <c r="F12" s="162" t="s">
        <v>50</v>
      </c>
      <c r="G12" s="163"/>
      <c r="H12" s="163"/>
      <c r="I12" s="163"/>
      <c r="J12" s="163"/>
      <c r="K12" s="164"/>
      <c r="L12" s="162" t="s">
        <v>51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5"/>
      <c r="F13" s="36" t="s">
        <v>52</v>
      </c>
      <c r="G13" s="37" t="s">
        <v>53</v>
      </c>
      <c r="H13" s="37" t="s">
        <v>54</v>
      </c>
      <c r="I13" s="37" t="s">
        <v>55</v>
      </c>
      <c r="J13" s="37" t="s">
        <v>56</v>
      </c>
      <c r="K13" s="61" t="s">
        <v>57</v>
      </c>
      <c r="L13" s="36" t="s">
        <v>52</v>
      </c>
      <c r="M13" s="37" t="s">
        <v>54</v>
      </c>
      <c r="N13" s="37" t="s">
        <v>55</v>
      </c>
      <c r="O13" s="37" t="s">
        <v>56</v>
      </c>
      <c r="P13" s="61" t="s">
        <v>57</v>
      </c>
    </row>
    <row r="14" spans="1:16" x14ac:dyDescent="0.2">
      <c r="A14" s="94">
        <v>1</v>
      </c>
      <c r="B14" s="95"/>
      <c r="C14" s="96" t="s">
        <v>58</v>
      </c>
      <c r="D14" s="25"/>
      <c r="E14" s="64"/>
      <c r="F14" s="65"/>
      <c r="G14" s="62"/>
      <c r="H14" s="47"/>
      <c r="I14" s="62"/>
      <c r="J14" s="62"/>
      <c r="K14" s="63">
        <f>SUM(H14:J14)</f>
        <v>0</v>
      </c>
      <c r="L14" s="65">
        <f>ROUND(E14*F14,2)</f>
        <v>0</v>
      </c>
      <c r="M14" s="62">
        <f>ROUND(H14*E14,2)</f>
        <v>0</v>
      </c>
      <c r="N14" s="62">
        <f>ROUND(I14*E14,2)</f>
        <v>0</v>
      </c>
      <c r="O14" s="62">
        <f>ROUND(J14*E14,2)</f>
        <v>0</v>
      </c>
      <c r="P14" s="63">
        <f>SUM(M14:O14)</f>
        <v>0</v>
      </c>
    </row>
    <row r="15" spans="1:16" ht="22.5" x14ac:dyDescent="0.2">
      <c r="A15" s="38">
        <v>1</v>
      </c>
      <c r="B15" s="39"/>
      <c r="C15" s="93" t="s">
        <v>523</v>
      </c>
      <c r="D15" s="25" t="s">
        <v>68</v>
      </c>
      <c r="E15" s="98">
        <v>1</v>
      </c>
      <c r="F15" s="65"/>
      <c r="G15" s="62"/>
      <c r="H15" s="47">
        <f t="shared" ref="H15" si="0">ROUND(F15*G15,2)</f>
        <v>0</v>
      </c>
      <c r="I15" s="62"/>
      <c r="J15" s="62">
        <f>ROUND(H15*0.07,2)</f>
        <v>0</v>
      </c>
      <c r="K15" s="48">
        <f t="shared" ref="K15:K34" si="1">SUM(H15:J15)</f>
        <v>0</v>
      </c>
      <c r="L15" s="49">
        <f t="shared" ref="L15:L34" si="2">ROUND(E15*F15,2)</f>
        <v>0</v>
      </c>
      <c r="M15" s="47">
        <f t="shared" ref="M15:M34" si="3">ROUND(H15*E15,2)</f>
        <v>0</v>
      </c>
      <c r="N15" s="47">
        <f t="shared" ref="N15:N34" si="4">ROUND(I15*E15,2)</f>
        <v>0</v>
      </c>
      <c r="O15" s="47">
        <f t="shared" ref="O15:O34" si="5">ROUND(J15*E15,2)</f>
        <v>0</v>
      </c>
      <c r="P15" s="48">
        <f t="shared" ref="P15:P34" si="6">SUM(M15:O15)</f>
        <v>0</v>
      </c>
    </row>
    <row r="16" spans="1:16" x14ac:dyDescent="0.2">
      <c r="A16" s="94">
        <v>2</v>
      </c>
      <c r="B16" s="95"/>
      <c r="C16" s="96" t="s">
        <v>524</v>
      </c>
      <c r="D16" s="25"/>
      <c r="E16" s="98"/>
      <c r="F16" s="65"/>
      <c r="G16" s="62"/>
      <c r="H16" s="47"/>
      <c r="I16" s="62"/>
      <c r="J16" s="62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22.5" x14ac:dyDescent="0.2">
      <c r="A17" s="38">
        <v>1</v>
      </c>
      <c r="B17" s="39"/>
      <c r="C17" s="93" t="s">
        <v>525</v>
      </c>
      <c r="D17" s="25" t="s">
        <v>68</v>
      </c>
      <c r="E17" s="98">
        <v>1</v>
      </c>
      <c r="F17" s="65"/>
      <c r="G17" s="62"/>
      <c r="H17" s="47">
        <f t="shared" ref="H17:H34" si="7">ROUND(F17*G17,2)</f>
        <v>0</v>
      </c>
      <c r="I17" s="62"/>
      <c r="J17" s="62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2</v>
      </c>
      <c r="B18" s="39"/>
      <c r="C18" s="93" t="s">
        <v>526</v>
      </c>
      <c r="D18" s="25" t="s">
        <v>82</v>
      </c>
      <c r="E18" s="98">
        <v>132</v>
      </c>
      <c r="F18" s="65"/>
      <c r="G18" s="62"/>
      <c r="H18" s="47">
        <f t="shared" si="7"/>
        <v>0</v>
      </c>
      <c r="I18" s="62"/>
      <c r="J18" s="62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x14ac:dyDescent="0.2">
      <c r="A19" s="38">
        <v>3</v>
      </c>
      <c r="B19" s="39"/>
      <c r="C19" s="93" t="s">
        <v>527</v>
      </c>
      <c r="D19" s="25" t="s">
        <v>82</v>
      </c>
      <c r="E19" s="98">
        <v>325</v>
      </c>
      <c r="F19" s="65"/>
      <c r="G19" s="62"/>
      <c r="H19" s="47">
        <f t="shared" si="7"/>
        <v>0</v>
      </c>
      <c r="I19" s="62"/>
      <c r="J19" s="62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4</v>
      </c>
      <c r="B20" s="39"/>
      <c r="C20" s="93" t="s">
        <v>528</v>
      </c>
      <c r="D20" s="25" t="s">
        <v>82</v>
      </c>
      <c r="E20" s="98">
        <v>275</v>
      </c>
      <c r="F20" s="65"/>
      <c r="G20" s="62"/>
      <c r="H20" s="47">
        <f t="shared" si="7"/>
        <v>0</v>
      </c>
      <c r="I20" s="62"/>
      <c r="J20" s="62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5</v>
      </c>
      <c r="B21" s="39"/>
      <c r="C21" s="93" t="s">
        <v>529</v>
      </c>
      <c r="D21" s="25" t="s">
        <v>82</v>
      </c>
      <c r="E21" s="98">
        <v>115</v>
      </c>
      <c r="F21" s="65"/>
      <c r="G21" s="62"/>
      <c r="H21" s="47">
        <f t="shared" si="7"/>
        <v>0</v>
      </c>
      <c r="I21" s="62"/>
      <c r="J21" s="62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6</v>
      </c>
      <c r="B22" s="39"/>
      <c r="C22" s="93" t="s">
        <v>530</v>
      </c>
      <c r="D22" s="25" t="s">
        <v>82</v>
      </c>
      <c r="E22" s="98">
        <v>19</v>
      </c>
      <c r="F22" s="65"/>
      <c r="G22" s="62"/>
      <c r="H22" s="47">
        <f t="shared" si="7"/>
        <v>0</v>
      </c>
      <c r="I22" s="62"/>
      <c r="J22" s="62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33.75" x14ac:dyDescent="0.2">
      <c r="A23" s="38">
        <v>7</v>
      </c>
      <c r="B23" s="39"/>
      <c r="C23" s="93" t="s">
        <v>531</v>
      </c>
      <c r="D23" s="25" t="s">
        <v>95</v>
      </c>
      <c r="E23" s="98">
        <v>18</v>
      </c>
      <c r="F23" s="65"/>
      <c r="G23" s="62"/>
      <c r="H23" s="47">
        <f t="shared" si="7"/>
        <v>0</v>
      </c>
      <c r="I23" s="62"/>
      <c r="J23" s="62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2.5" x14ac:dyDescent="0.2">
      <c r="A24" s="38">
        <v>8</v>
      </c>
      <c r="B24" s="39"/>
      <c r="C24" s="93" t="s">
        <v>532</v>
      </c>
      <c r="D24" s="25" t="s">
        <v>95</v>
      </c>
      <c r="E24" s="98">
        <v>29</v>
      </c>
      <c r="F24" s="65"/>
      <c r="G24" s="62"/>
      <c r="H24" s="47">
        <f t="shared" si="7"/>
        <v>0</v>
      </c>
      <c r="I24" s="62"/>
      <c r="J24" s="62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2.5" x14ac:dyDescent="0.2">
      <c r="A25" s="38">
        <v>9</v>
      </c>
      <c r="B25" s="39"/>
      <c r="C25" s="93" t="s">
        <v>533</v>
      </c>
      <c r="D25" s="25" t="s">
        <v>95</v>
      </c>
      <c r="E25" s="98">
        <v>3</v>
      </c>
      <c r="F25" s="65"/>
      <c r="G25" s="62"/>
      <c r="H25" s="47">
        <f t="shared" si="7"/>
        <v>0</v>
      </c>
      <c r="I25" s="62"/>
      <c r="J25" s="62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2.5" x14ac:dyDescent="0.2">
      <c r="A26" s="38">
        <v>10</v>
      </c>
      <c r="B26" s="39"/>
      <c r="C26" s="93" t="s">
        <v>534</v>
      </c>
      <c r="D26" s="25" t="s">
        <v>95</v>
      </c>
      <c r="E26" s="98">
        <v>9</v>
      </c>
      <c r="F26" s="65"/>
      <c r="G26" s="62"/>
      <c r="H26" s="47">
        <f t="shared" si="7"/>
        <v>0</v>
      </c>
      <c r="I26" s="62"/>
      <c r="J26" s="62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2.5" x14ac:dyDescent="0.2">
      <c r="A27" s="38">
        <v>11</v>
      </c>
      <c r="B27" s="39"/>
      <c r="C27" s="93" t="s">
        <v>535</v>
      </c>
      <c r="D27" s="25" t="s">
        <v>82</v>
      </c>
      <c r="E27" s="98">
        <v>7</v>
      </c>
      <c r="F27" s="65"/>
      <c r="G27" s="62"/>
      <c r="H27" s="47">
        <f t="shared" si="7"/>
        <v>0</v>
      </c>
      <c r="I27" s="62"/>
      <c r="J27" s="62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12</v>
      </c>
      <c r="B28" s="39"/>
      <c r="C28" s="93" t="s">
        <v>536</v>
      </c>
      <c r="D28" s="25" t="s">
        <v>95</v>
      </c>
      <c r="E28" s="98">
        <v>4</v>
      </c>
      <c r="F28" s="65"/>
      <c r="G28" s="62"/>
      <c r="H28" s="47">
        <f t="shared" si="7"/>
        <v>0</v>
      </c>
      <c r="I28" s="62"/>
      <c r="J28" s="62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13</v>
      </c>
      <c r="B29" s="39"/>
      <c r="C29" s="93" t="s">
        <v>537</v>
      </c>
      <c r="D29" s="25" t="s">
        <v>66</v>
      </c>
      <c r="E29" s="98">
        <v>4</v>
      </c>
      <c r="F29" s="65"/>
      <c r="G29" s="62"/>
      <c r="H29" s="47">
        <f t="shared" si="7"/>
        <v>0</v>
      </c>
      <c r="I29" s="62"/>
      <c r="J29" s="62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14</v>
      </c>
      <c r="B30" s="39"/>
      <c r="C30" s="93" t="s">
        <v>538</v>
      </c>
      <c r="D30" s="25" t="s">
        <v>75</v>
      </c>
      <c r="E30" s="98">
        <v>2</v>
      </c>
      <c r="F30" s="65"/>
      <c r="G30" s="62"/>
      <c r="H30" s="47">
        <f t="shared" si="7"/>
        <v>0</v>
      </c>
      <c r="I30" s="62"/>
      <c r="J30" s="62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15</v>
      </c>
      <c r="B31" s="39"/>
      <c r="C31" s="93" t="s">
        <v>539</v>
      </c>
      <c r="D31" s="25" t="s">
        <v>68</v>
      </c>
      <c r="E31" s="98">
        <v>1</v>
      </c>
      <c r="F31" s="65"/>
      <c r="G31" s="62"/>
      <c r="H31" s="47">
        <f t="shared" si="7"/>
        <v>0</v>
      </c>
      <c r="I31" s="62"/>
      <c r="J31" s="62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x14ac:dyDescent="0.2">
      <c r="A32" s="38">
        <v>16</v>
      </c>
      <c r="B32" s="39"/>
      <c r="C32" s="93" t="s">
        <v>540</v>
      </c>
      <c r="D32" s="25" t="s">
        <v>68</v>
      </c>
      <c r="E32" s="98">
        <v>1</v>
      </c>
      <c r="F32" s="65"/>
      <c r="G32" s="62"/>
      <c r="H32" s="47">
        <f t="shared" si="7"/>
        <v>0</v>
      </c>
      <c r="I32" s="62"/>
      <c r="J32" s="62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x14ac:dyDescent="0.2">
      <c r="A33" s="38">
        <v>17</v>
      </c>
      <c r="B33" s="39"/>
      <c r="C33" s="93" t="s">
        <v>541</v>
      </c>
      <c r="D33" s="25" t="s">
        <v>384</v>
      </c>
      <c r="E33" s="98">
        <v>1</v>
      </c>
      <c r="F33" s="65"/>
      <c r="G33" s="62"/>
      <c r="H33" s="47">
        <f t="shared" si="7"/>
        <v>0</v>
      </c>
      <c r="I33" s="62"/>
      <c r="J33" s="62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12" thickBot="1" x14ac:dyDescent="0.25">
      <c r="A34" s="38">
        <v>18</v>
      </c>
      <c r="B34" s="39"/>
      <c r="C34" s="93" t="s">
        <v>518</v>
      </c>
      <c r="D34" s="25" t="s">
        <v>68</v>
      </c>
      <c r="E34" s="98">
        <v>1</v>
      </c>
      <c r="F34" s="65"/>
      <c r="G34" s="62"/>
      <c r="H34" s="47">
        <f t="shared" si="7"/>
        <v>0</v>
      </c>
      <c r="I34" s="62"/>
      <c r="J34" s="62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12" customHeight="1" thickBot="1" x14ac:dyDescent="0.25">
      <c r="A35" s="156" t="s">
        <v>88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8"/>
      <c r="L35" s="66">
        <f>SUM(L14:L34)</f>
        <v>0</v>
      </c>
      <c r="M35" s="67">
        <f>SUM(M14:M34)</f>
        <v>0</v>
      </c>
      <c r="N35" s="67">
        <f>SUM(N14:N34)</f>
        <v>0</v>
      </c>
      <c r="O35" s="67">
        <f>SUM(O14:O34)</f>
        <v>0</v>
      </c>
      <c r="P35" s="68">
        <f>SUM(P14:P34)</f>
        <v>0</v>
      </c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1.1" customHeight="1" x14ac:dyDescent="0.2">
      <c r="A38" s="1" t="s">
        <v>17</v>
      </c>
      <c r="B38" s="17"/>
      <c r="C38" s="107"/>
      <c r="D38" s="107"/>
      <c r="E38" s="107"/>
      <c r="F38" s="107"/>
      <c r="G38" s="107"/>
      <c r="H38" s="107"/>
      <c r="I38" s="17"/>
      <c r="J38" s="17"/>
      <c r="K38" s="17"/>
      <c r="L38" s="17"/>
      <c r="M38" s="17"/>
      <c r="N38" s="17"/>
      <c r="O38" s="17"/>
      <c r="P38" s="17"/>
    </row>
    <row r="39" spans="1:16" ht="11.1" customHeight="1" x14ac:dyDescent="0.2">
      <c r="A39" s="17"/>
      <c r="B39" s="17"/>
      <c r="C39" s="108" t="s">
        <v>18</v>
      </c>
      <c r="D39" s="108"/>
      <c r="E39" s="108"/>
      <c r="F39" s="108"/>
      <c r="G39" s="108"/>
      <c r="H39" s="108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" t="s">
        <v>19</v>
      </c>
      <c r="B42" s="17"/>
      <c r="C42" s="107"/>
      <c r="D42" s="107"/>
      <c r="E42" s="107"/>
      <c r="F42" s="107"/>
      <c r="G42" s="107"/>
      <c r="H42" s="107"/>
      <c r="I42" s="17"/>
      <c r="J42" s="17"/>
      <c r="K42" s="17"/>
      <c r="L42" s="17"/>
      <c r="M42" s="17"/>
      <c r="N42" s="17"/>
      <c r="O42" s="17"/>
      <c r="P42" s="17"/>
    </row>
    <row r="43" spans="1:16" ht="11.1" customHeight="1" x14ac:dyDescent="0.2">
      <c r="A43" s="17"/>
      <c r="B43" s="17"/>
      <c r="C43" s="108" t="s">
        <v>18</v>
      </c>
      <c r="D43" s="108"/>
      <c r="E43" s="108"/>
      <c r="F43" s="108"/>
      <c r="G43" s="108"/>
      <c r="H43" s="108"/>
      <c r="I43" s="17"/>
      <c r="J43" s="17"/>
      <c r="K43" s="17"/>
      <c r="L43" s="17"/>
      <c r="M43" s="17"/>
      <c r="N43" s="17"/>
      <c r="O43" s="17"/>
      <c r="P43" s="17"/>
    </row>
    <row r="44" spans="1:16" ht="11.1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85" t="s">
        <v>20</v>
      </c>
      <c r="B45" s="86"/>
      <c r="C45" s="90"/>
      <c r="D45" s="8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I47" s="17"/>
      <c r="J47" s="17"/>
      <c r="K47" s="17"/>
      <c r="L47" s="17"/>
      <c r="M47" s="17"/>
      <c r="N47" s="17"/>
      <c r="O47" s="17"/>
      <c r="P47" s="17"/>
    </row>
  </sheetData>
  <mergeCells count="22">
    <mergeCell ref="C2:I2"/>
    <mergeCell ref="C3:I3"/>
    <mergeCell ref="D5:L5"/>
    <mergeCell ref="D6:L6"/>
    <mergeCell ref="D7:L7"/>
    <mergeCell ref="C4:I4"/>
    <mergeCell ref="C39:H39"/>
    <mergeCell ref="C43:H43"/>
    <mergeCell ref="C42:H42"/>
    <mergeCell ref="N9:O9"/>
    <mergeCell ref="C12:C13"/>
    <mergeCell ref="D12:D13"/>
    <mergeCell ref="E12:E13"/>
    <mergeCell ref="L12:P12"/>
    <mergeCell ref="A9:I9"/>
    <mergeCell ref="F12:K12"/>
    <mergeCell ref="J9:M9"/>
    <mergeCell ref="D8:L8"/>
    <mergeCell ref="A35:K35"/>
    <mergeCell ref="A12:A13"/>
    <mergeCell ref="B12:B13"/>
    <mergeCell ref="C38:H38"/>
  </mergeCells>
  <conditionalFormatting sqref="I14:J34 A14:G34">
    <cfRule type="cellIs" dxfId="14" priority="34" operator="equal">
      <formula>0</formula>
    </cfRule>
  </conditionalFormatting>
  <conditionalFormatting sqref="N9:O9 K14:P34 H14:H34">
    <cfRule type="cellIs" dxfId="13" priority="35" operator="equal">
      <formula>0</formula>
    </cfRule>
  </conditionalFormatting>
  <conditionalFormatting sqref="C2:I2">
    <cfRule type="cellIs" dxfId="12" priority="31" operator="equal">
      <formula>0</formula>
    </cfRule>
  </conditionalFormatting>
  <conditionalFormatting sqref="O10">
    <cfRule type="cellIs" dxfId="11" priority="30" operator="equal">
      <formula>"20__. gada __. _________"</formula>
    </cfRule>
  </conditionalFormatting>
  <conditionalFormatting sqref="L35:P35">
    <cfRule type="cellIs" dxfId="10" priority="24" operator="equal">
      <formula>0</formula>
    </cfRule>
  </conditionalFormatting>
  <conditionalFormatting sqref="C4:I4">
    <cfRule type="cellIs" dxfId="9" priority="23" operator="equal">
      <formula>0</formula>
    </cfRule>
  </conditionalFormatting>
  <conditionalFormatting sqref="D5:L8">
    <cfRule type="cellIs" dxfId="8" priority="20" operator="equal">
      <formula>0</formula>
    </cfRule>
  </conditionalFormatting>
  <conditionalFormatting sqref="P10">
    <cfRule type="cellIs" dxfId="7" priority="16" operator="equal">
      <formula>"20__. gada __. _________"</formula>
    </cfRule>
  </conditionalFormatting>
  <conditionalFormatting sqref="D1">
    <cfRule type="cellIs" dxfId="6" priority="10" operator="equal">
      <formula>0</formula>
    </cfRule>
  </conditionalFormatting>
  <conditionalFormatting sqref="A9">
    <cfRule type="containsText" dxfId="5" priority="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5:K35">
    <cfRule type="containsText" dxfId="4" priority="5" operator="containsText" text="Tiešās izmaksas kopā, t. sk. darba devēja sociālais nodoklis __.__% ">
      <formula>NOT(ISERROR(SEARCH("Tiešās izmaksas kopā, t. sk. darba devēja sociālais nodoklis __.__% ",A35)))</formula>
    </cfRule>
  </conditionalFormatting>
  <conditionalFormatting sqref="C42:H42">
    <cfRule type="cellIs" dxfId="3" priority="4" operator="equal">
      <formula>0</formula>
    </cfRule>
  </conditionalFormatting>
  <conditionalFormatting sqref="C38:H38">
    <cfRule type="cellIs" dxfId="2" priority="3" operator="equal">
      <formula>0</formula>
    </cfRule>
  </conditionalFormatting>
  <conditionalFormatting sqref="C45">
    <cfRule type="cellIs" dxfId="1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E0398290-0FBB-4742-937E-37CD7705F1C6}">
            <xm:f>NOT(ISERROR(SEARCH("Sertifikāta Nr. _________________________________",A45)))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3"/>
  <sheetViews>
    <sheetView workbookViewId="0">
      <selection activeCell="H32" sqref="H32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42578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42578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42578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42578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42578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42578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42578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42578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42578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42578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42578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42578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42578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42578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42578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42578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42578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42578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42578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42578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42578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42578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42578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42578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42578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42578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42578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42578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42578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42578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42578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42578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42578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42578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42578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42578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42578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42578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42578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42578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42578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42578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42578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42578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42578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42578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42578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42578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42578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42578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42578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42578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42578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42578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42578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42578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42578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42578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42578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42578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42578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42578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42578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10"/>
      <c r="H1" s="110"/>
      <c r="I1" s="110"/>
    </row>
    <row r="2" spans="1:9" x14ac:dyDescent="0.2">
      <c r="A2" s="150" t="s">
        <v>21</v>
      </c>
      <c r="B2" s="150"/>
      <c r="C2" s="150"/>
      <c r="D2" s="150"/>
      <c r="E2" s="150"/>
      <c r="F2" s="150"/>
      <c r="G2" s="150"/>
      <c r="H2" s="150"/>
      <c r="I2" s="150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51" t="s">
        <v>22</v>
      </c>
      <c r="D4" s="151"/>
      <c r="E4" s="151"/>
      <c r="F4" s="151"/>
      <c r="G4" s="151"/>
      <c r="H4" s="151"/>
      <c r="I4" s="151"/>
    </row>
    <row r="5" spans="1:9" ht="11.25" customHeight="1" x14ac:dyDescent="0.2">
      <c r="A5" s="84"/>
      <c r="B5" s="84"/>
      <c r="C5" s="153"/>
      <c r="D5" s="153"/>
      <c r="E5" s="153"/>
      <c r="F5" s="153"/>
      <c r="G5" s="153"/>
      <c r="H5" s="153"/>
      <c r="I5" s="153"/>
    </row>
    <row r="6" spans="1:9" x14ac:dyDescent="0.2">
      <c r="A6" s="148" t="s">
        <v>23</v>
      </c>
      <c r="B6" s="148"/>
      <c r="C6" s="148"/>
      <c r="D6" s="152" t="str">
        <f>'Kopt a'!B13</f>
        <v>Daudzdzīvokļu dzīvojamās mājas vienkāršotas fasādes atjaunošana</v>
      </c>
      <c r="E6" s="152"/>
      <c r="F6" s="152"/>
      <c r="G6" s="152"/>
      <c r="H6" s="152"/>
      <c r="I6" s="152"/>
    </row>
    <row r="7" spans="1:9" ht="24.95" customHeight="1" x14ac:dyDescent="0.2">
      <c r="A7" s="148" t="s">
        <v>7</v>
      </c>
      <c r="B7" s="148"/>
      <c r="C7" s="148"/>
      <c r="D7" s="149" t="str">
        <f>'Kopt a'!B14</f>
        <v>Daudzdzīvokļu dzīvojamās mājas, Dakteru ielā 24, Smiltenē vienkāršotas fasādes atjaunošana</v>
      </c>
      <c r="E7" s="149"/>
      <c r="F7" s="149"/>
      <c r="G7" s="149"/>
      <c r="H7" s="149"/>
      <c r="I7" s="149"/>
    </row>
    <row r="8" spans="1:9" x14ac:dyDescent="0.2">
      <c r="A8" s="145" t="s">
        <v>24</v>
      </c>
      <c r="B8" s="145"/>
      <c r="C8" s="145"/>
      <c r="D8" s="146" t="str">
        <f>'Kopt a'!B15</f>
        <v>Dakteru iela 24, Smiltene</v>
      </c>
      <c r="E8" s="146"/>
      <c r="F8" s="146"/>
      <c r="G8" s="146"/>
      <c r="H8" s="146"/>
      <c r="I8" s="146"/>
    </row>
    <row r="9" spans="1:9" x14ac:dyDescent="0.2">
      <c r="A9" s="145" t="s">
        <v>25</v>
      </c>
      <c r="B9" s="145"/>
      <c r="C9" s="145"/>
      <c r="D9" s="146">
        <f>'Kopt a'!B16</f>
        <v>0</v>
      </c>
      <c r="E9" s="146"/>
      <c r="F9" s="146"/>
      <c r="G9" s="146"/>
      <c r="H9" s="146"/>
      <c r="I9" s="146"/>
    </row>
    <row r="10" spans="1:9" x14ac:dyDescent="0.2">
      <c r="C10" s="4" t="s">
        <v>26</v>
      </c>
      <c r="D10" s="147">
        <f>E31</f>
        <v>0</v>
      </c>
      <c r="E10" s="147"/>
      <c r="F10" s="77"/>
      <c r="G10" s="77"/>
      <c r="H10" s="77"/>
      <c r="I10" s="77"/>
    </row>
    <row r="11" spans="1:9" x14ac:dyDescent="0.2">
      <c r="C11" s="4" t="s">
        <v>27</v>
      </c>
      <c r="D11" s="147">
        <f>I27</f>
        <v>0</v>
      </c>
      <c r="E11" s="147"/>
      <c r="F11" s="77"/>
      <c r="G11" s="77"/>
      <c r="H11" s="77"/>
      <c r="I11" s="77"/>
    </row>
    <row r="12" spans="1:9" ht="12" thickBot="1" x14ac:dyDescent="0.25">
      <c r="F12" s="18"/>
      <c r="G12" s="18"/>
      <c r="H12" s="18"/>
      <c r="I12" s="18"/>
    </row>
    <row r="13" spans="1:9" x14ac:dyDescent="0.2">
      <c r="A13" s="129" t="s">
        <v>28</v>
      </c>
      <c r="B13" s="131" t="s">
        <v>29</v>
      </c>
      <c r="C13" s="133" t="s">
        <v>30</v>
      </c>
      <c r="D13" s="134"/>
      <c r="E13" s="137" t="s">
        <v>31</v>
      </c>
      <c r="F13" s="141" t="s">
        <v>32</v>
      </c>
      <c r="G13" s="142"/>
      <c r="H13" s="142"/>
      <c r="I13" s="143" t="s">
        <v>33</v>
      </c>
    </row>
    <row r="14" spans="1:9" ht="23.25" thickBot="1" x14ac:dyDescent="0.25">
      <c r="A14" s="130"/>
      <c r="B14" s="132"/>
      <c r="C14" s="135"/>
      <c r="D14" s="136"/>
      <c r="E14" s="138"/>
      <c r="F14" s="19" t="s">
        <v>34</v>
      </c>
      <c r="G14" s="20" t="s">
        <v>35</v>
      </c>
      <c r="H14" s="20" t="s">
        <v>36</v>
      </c>
      <c r="I14" s="144"/>
    </row>
    <row r="15" spans="1:9" x14ac:dyDescent="0.2">
      <c r="A15" s="72">
        <f>IF(E15=0,0,IF(COUNTBLANK(E15)=1,0,COUNTA($E$15:E15)))</f>
        <v>0</v>
      </c>
      <c r="B15" s="24">
        <f>IF(A15=0,0,CONCATENATE("Lt-",A15))</f>
        <v>0</v>
      </c>
      <c r="C15" s="139" t="str">
        <f>'1a'!C2:I2</f>
        <v>Ieejas mezgla atjaunošanas darbi</v>
      </c>
      <c r="D15" s="140"/>
      <c r="E15" s="58">
        <f>'1a'!P40</f>
        <v>0</v>
      </c>
      <c r="F15" s="53">
        <f>'1a'!M40</f>
        <v>0</v>
      </c>
      <c r="G15" s="54">
        <f>'1a'!N40</f>
        <v>0</v>
      </c>
      <c r="H15" s="54">
        <f>'1a'!O40</f>
        <v>0</v>
      </c>
      <c r="I15" s="55">
        <f>'1a'!L40</f>
        <v>0</v>
      </c>
    </row>
    <row r="16" spans="1:9" x14ac:dyDescent="0.2">
      <c r="A16" s="73">
        <f>IF(E16=0,0,IF(COUNTBLANK(E16)=1,0,COUNTA($E$15:E16)))</f>
        <v>0</v>
      </c>
      <c r="B16" s="25">
        <f>IF(A16=0,0,CONCATENATE("Lt-",A16))</f>
        <v>0</v>
      </c>
      <c r="C16" s="113" t="str">
        <f>'2a'!C2:I2</f>
        <v>Jumta atjaunošana</v>
      </c>
      <c r="D16" s="114"/>
      <c r="E16" s="59">
        <f>'2a'!P108</f>
        <v>0</v>
      </c>
      <c r="F16" s="46">
        <f>'2a'!M108</f>
        <v>0</v>
      </c>
      <c r="G16" s="56">
        <f>'2a'!N108</f>
        <v>0</v>
      </c>
      <c r="H16" s="56">
        <f>'2a'!O108</f>
        <v>0</v>
      </c>
      <c r="I16" s="57">
        <f>'2a'!L108</f>
        <v>0</v>
      </c>
    </row>
    <row r="17" spans="1:9" x14ac:dyDescent="0.2">
      <c r="A17" s="73">
        <f>IF(E17=0,0,IF(COUNTBLANK(E17)=1,0,COUNTA($E$15:E17)))</f>
        <v>0</v>
      </c>
      <c r="B17" s="25">
        <f t="shared" ref="B17:B26" si="0">IF(A17=0,0,CONCATENATE("Lt-",A17))</f>
        <v>0</v>
      </c>
      <c r="C17" s="113" t="str">
        <f>'3a'!C2:I2</f>
        <v>Siltināšanas un apdares darbi</v>
      </c>
      <c r="D17" s="114"/>
      <c r="E17" s="60">
        <f>'3a'!P131</f>
        <v>0</v>
      </c>
      <c r="F17" s="46">
        <f>'3a'!M131</f>
        <v>0</v>
      </c>
      <c r="G17" s="56">
        <f>'3a'!N131</f>
        <v>0</v>
      </c>
      <c r="H17" s="56">
        <f>'3a'!O131</f>
        <v>0</v>
      </c>
      <c r="I17" s="57">
        <f>'3a'!L131</f>
        <v>0</v>
      </c>
    </row>
    <row r="18" spans="1:9" ht="11.25" customHeight="1" x14ac:dyDescent="0.2">
      <c r="A18" s="73">
        <f>IF(E18=0,0,IF(COUNTBLANK(E18)=1,0,COUNTA($E$15:E18)))</f>
        <v>0</v>
      </c>
      <c r="B18" s="25">
        <f t="shared" si="0"/>
        <v>0</v>
      </c>
      <c r="C18" s="113" t="str">
        <f>'4a'!C2:I2</f>
        <v>Pagraba griestu siltināšana darbi</v>
      </c>
      <c r="D18" s="114"/>
      <c r="E18" s="60">
        <f>'4a'!P34</f>
        <v>0</v>
      </c>
      <c r="F18" s="46">
        <f>'4a'!M34</f>
        <v>0</v>
      </c>
      <c r="G18" s="56">
        <f>'4a'!N34</f>
        <v>0</v>
      </c>
      <c r="H18" s="56">
        <f>'4a'!O34</f>
        <v>0</v>
      </c>
      <c r="I18" s="57">
        <f>'4a'!L34</f>
        <v>0</v>
      </c>
    </row>
    <row r="19" spans="1:9" x14ac:dyDescent="0.2">
      <c r="A19" s="73">
        <f>IF(E19=0,0,IF(COUNTBLANK(E19)=1,0,COUNTA($E$15:E19)))</f>
        <v>0</v>
      </c>
      <c r="B19" s="25">
        <f t="shared" si="0"/>
        <v>0</v>
      </c>
      <c r="C19" s="113" t="str">
        <f>'5a'!C2:I2</f>
        <v>Logu un durvju maiņa</v>
      </c>
      <c r="D19" s="114"/>
      <c r="E19" s="60">
        <f>'5a'!P81</f>
        <v>0</v>
      </c>
      <c r="F19" s="46">
        <f>'5a'!M81</f>
        <v>0</v>
      </c>
      <c r="G19" s="56">
        <f>'5a'!N81</f>
        <v>0</v>
      </c>
      <c r="H19" s="56">
        <f>'5a'!O81</f>
        <v>0</v>
      </c>
      <c r="I19" s="57">
        <f>'5a'!L81</f>
        <v>0</v>
      </c>
    </row>
    <row r="20" spans="1:9" x14ac:dyDescent="0.2">
      <c r="A20" s="73">
        <f>IF(E20=0,0,IF(COUNTBLANK(E20)=1,0,COUNTA($E$15:E20)))</f>
        <v>0</v>
      </c>
      <c r="B20" s="25">
        <f t="shared" si="0"/>
        <v>0</v>
      </c>
      <c r="C20" s="113" t="str">
        <f>'6a'!C2:I2</f>
        <v>Iekšējie apdares darbi</v>
      </c>
      <c r="D20" s="114"/>
      <c r="E20" s="60">
        <f>'6a'!P27</f>
        <v>0</v>
      </c>
      <c r="F20" s="46">
        <f>'6a'!M27</f>
        <v>0</v>
      </c>
      <c r="G20" s="56">
        <f>'6a'!N27</f>
        <v>0</v>
      </c>
      <c r="H20" s="56">
        <f>'6a'!O27</f>
        <v>0</v>
      </c>
      <c r="I20" s="57">
        <f>'6a'!L27</f>
        <v>0</v>
      </c>
    </row>
    <row r="21" spans="1:9" x14ac:dyDescent="0.2">
      <c r="A21" s="73">
        <f>IF(E21=0,0,IF(COUNTBLANK(E21)=1,0,COUNTA($E$15:E21)))</f>
        <v>0</v>
      </c>
      <c r="B21" s="25">
        <f t="shared" si="0"/>
        <v>0</v>
      </c>
      <c r="C21" s="113" t="str">
        <f>'7a'!C2:I2</f>
        <v>Ventilācijas atjaunošanas darbi</v>
      </c>
      <c r="D21" s="114"/>
      <c r="E21" s="60">
        <f>'7a'!P36</f>
        <v>0</v>
      </c>
      <c r="F21" s="46">
        <f>'7a'!M36</f>
        <v>0</v>
      </c>
      <c r="G21" s="56">
        <f>'7a'!N36</f>
        <v>0</v>
      </c>
      <c r="H21" s="56">
        <f>'7a'!O36</f>
        <v>0</v>
      </c>
      <c r="I21" s="57">
        <f>'7a'!L36</f>
        <v>0</v>
      </c>
    </row>
    <row r="22" spans="1:9" x14ac:dyDescent="0.2">
      <c r="A22" s="73">
        <f>IF(E22=0,0,IF(COUNTBLANK(E22)=1,0,COUNTA($E$15:E22)))</f>
        <v>0</v>
      </c>
      <c r="B22" s="25">
        <f t="shared" si="0"/>
        <v>0</v>
      </c>
      <c r="C22" s="113" t="str">
        <f>'8a'!C2:I2</f>
        <v>Ūdensapgādes un kanalizācijas sistēmas atjaunošana</v>
      </c>
      <c r="D22" s="114"/>
      <c r="E22" s="60">
        <f>'8a'!P96</f>
        <v>0</v>
      </c>
      <c r="F22" s="46">
        <f>'8a'!M96</f>
        <v>0</v>
      </c>
      <c r="G22" s="56">
        <f>'8a'!N96</f>
        <v>0</v>
      </c>
      <c r="H22" s="56">
        <f>'8a'!O96</f>
        <v>0</v>
      </c>
      <c r="I22" s="57">
        <f>'8a'!L96</f>
        <v>0</v>
      </c>
    </row>
    <row r="23" spans="1:9" x14ac:dyDescent="0.2">
      <c r="A23" s="73">
        <f>IF(E23=0,0,IF(COUNTBLANK(E23)=1,0,COUNTA($E$15:E23)))</f>
        <v>0</v>
      </c>
      <c r="B23" s="25">
        <f t="shared" si="0"/>
        <v>0</v>
      </c>
      <c r="C23" s="113" t="str">
        <f>'9a'!C2:I2</f>
        <v>Apkures sistēmas atjaunošana</v>
      </c>
      <c r="D23" s="114"/>
      <c r="E23" s="60">
        <f>'9a'!P90</f>
        <v>0</v>
      </c>
      <c r="F23" s="46">
        <f>'9a'!M90</f>
        <v>0</v>
      </c>
      <c r="G23" s="56">
        <f>'9a'!N90</f>
        <v>0</v>
      </c>
      <c r="H23" s="56">
        <f>'9a'!O90</f>
        <v>0</v>
      </c>
      <c r="I23" s="57">
        <f>'9a'!L90</f>
        <v>0</v>
      </c>
    </row>
    <row r="24" spans="1:9" x14ac:dyDescent="0.2">
      <c r="A24" s="73">
        <f>IF(E24=0,0,IF(COUNTBLANK(E24)=1,0,COUNTA($E$15:E24)))</f>
        <v>0</v>
      </c>
      <c r="B24" s="25">
        <f t="shared" si="0"/>
        <v>0</v>
      </c>
      <c r="C24" s="113" t="str">
        <f>'10a'!C2:I2</f>
        <v>Siltummezgls</v>
      </c>
      <c r="D24" s="114"/>
      <c r="E24" s="60">
        <f>'10a'!P61</f>
        <v>0</v>
      </c>
      <c r="F24" s="46">
        <f>'10a'!M61</f>
        <v>0</v>
      </c>
      <c r="G24" s="56">
        <f>'10a'!N61</f>
        <v>0</v>
      </c>
      <c r="H24" s="56">
        <f>'10a'!O61</f>
        <v>0</v>
      </c>
      <c r="I24" s="57">
        <f>'10a'!L61</f>
        <v>0</v>
      </c>
    </row>
    <row r="25" spans="1:9" ht="11.25" customHeight="1" x14ac:dyDescent="0.2">
      <c r="A25" s="73">
        <f>IF(E25=0,0,IF(COUNTBLANK(E25)=1,0,COUNTA($E$15:E25)))</f>
        <v>0</v>
      </c>
      <c r="B25" s="25">
        <f t="shared" si="0"/>
        <v>0</v>
      </c>
      <c r="C25" s="113" t="str">
        <f>'11a'!C2:I2</f>
        <v>Zibensaizsardzības izbūve</v>
      </c>
      <c r="D25" s="114"/>
      <c r="E25" s="60">
        <f>'11a'!P40</f>
        <v>0</v>
      </c>
      <c r="F25" s="46">
        <f>'11a'!M40</f>
        <v>0</v>
      </c>
      <c r="G25" s="56">
        <f>'11a'!N40</f>
        <v>0</v>
      </c>
      <c r="H25" s="56">
        <f>'11a'!O40</f>
        <v>0</v>
      </c>
      <c r="I25" s="57">
        <f>'11a'!L40</f>
        <v>0</v>
      </c>
    </row>
    <row r="26" spans="1:9" ht="12" thickBot="1" x14ac:dyDescent="0.25">
      <c r="A26" s="73">
        <f>IF(E26=0,0,IF(COUNTBLANK(E26)=1,0,COUNTA($E$15:E26)))</f>
        <v>0</v>
      </c>
      <c r="B26" s="25">
        <f t="shared" si="0"/>
        <v>0</v>
      </c>
      <c r="C26" s="113" t="str">
        <f>'12a'!C2:I2</f>
        <v>Apgaismojuma atjaunošana</v>
      </c>
      <c r="D26" s="114"/>
      <c r="E26" s="60">
        <f>'12a'!P35</f>
        <v>0</v>
      </c>
      <c r="F26" s="46">
        <f>'12a'!M35</f>
        <v>0</v>
      </c>
      <c r="G26" s="56">
        <f>'12a'!N35</f>
        <v>0</v>
      </c>
      <c r="H26" s="56">
        <f>'12a'!O35</f>
        <v>0</v>
      </c>
      <c r="I26" s="57">
        <f>'12a'!L35</f>
        <v>0</v>
      </c>
    </row>
    <row r="27" spans="1:9" ht="12" thickBot="1" x14ac:dyDescent="0.25">
      <c r="A27" s="115" t="s">
        <v>37</v>
      </c>
      <c r="B27" s="116"/>
      <c r="C27" s="116"/>
      <c r="D27" s="116"/>
      <c r="E27" s="41">
        <f>SUM(E15:E26)</f>
        <v>0</v>
      </c>
      <c r="F27" s="40">
        <f>SUM(F15:F26)</f>
        <v>0</v>
      </c>
      <c r="G27" s="40">
        <f>SUM(G15:G26)</f>
        <v>0</v>
      </c>
      <c r="H27" s="40">
        <f>SUM(H15:H26)</f>
        <v>0</v>
      </c>
      <c r="I27" s="41">
        <f>SUM(I15:I26)</f>
        <v>0</v>
      </c>
    </row>
    <row r="28" spans="1:9" x14ac:dyDescent="0.2">
      <c r="A28" s="117" t="s">
        <v>38</v>
      </c>
      <c r="B28" s="118"/>
      <c r="C28" s="119"/>
      <c r="D28" s="69"/>
      <c r="E28" s="42">
        <f>ROUND(E27*$D28,2)</f>
        <v>0</v>
      </c>
      <c r="F28" s="43"/>
      <c r="G28" s="43"/>
      <c r="H28" s="43"/>
      <c r="I28" s="43"/>
    </row>
    <row r="29" spans="1:9" x14ac:dyDescent="0.2">
      <c r="A29" s="120" t="s">
        <v>39</v>
      </c>
      <c r="B29" s="121"/>
      <c r="C29" s="122"/>
      <c r="D29" s="70"/>
      <c r="E29" s="44">
        <f>ROUND(E28*$D29,2)</f>
        <v>0</v>
      </c>
      <c r="F29" s="43"/>
      <c r="G29" s="43"/>
      <c r="H29" s="43"/>
      <c r="I29" s="43"/>
    </row>
    <row r="30" spans="1:9" x14ac:dyDescent="0.2">
      <c r="A30" s="123" t="s">
        <v>40</v>
      </c>
      <c r="B30" s="124"/>
      <c r="C30" s="125"/>
      <c r="D30" s="71"/>
      <c r="E30" s="44">
        <f>ROUND(E27*$D30,2)</f>
        <v>0</v>
      </c>
      <c r="F30" s="43"/>
      <c r="G30" s="43"/>
      <c r="H30" s="43"/>
      <c r="I30" s="43"/>
    </row>
    <row r="31" spans="1:9" ht="12" thickBot="1" x14ac:dyDescent="0.25">
      <c r="A31" s="126" t="s">
        <v>41</v>
      </c>
      <c r="B31" s="127"/>
      <c r="C31" s="128"/>
      <c r="D31" s="22"/>
      <c r="E31" s="45">
        <f>SUM(E27:E30)-E29</f>
        <v>0</v>
      </c>
      <c r="F31" s="43"/>
      <c r="G31" s="43"/>
      <c r="H31" s="43"/>
      <c r="I31" s="43"/>
    </row>
    <row r="32" spans="1:9" x14ac:dyDescent="0.2">
      <c r="A32" s="92"/>
      <c r="G32" s="21"/>
    </row>
    <row r="33" spans="1:9" x14ac:dyDescent="0.2">
      <c r="C33" s="17"/>
      <c r="D33" s="17"/>
      <c r="E33" s="17"/>
      <c r="F33" s="23"/>
      <c r="G33" s="23"/>
      <c r="H33" s="23"/>
      <c r="I33" s="23"/>
    </row>
    <row r="36" spans="1:9" x14ac:dyDescent="0.2">
      <c r="A36" s="1" t="s">
        <v>17</v>
      </c>
      <c r="B36" s="17"/>
      <c r="C36" s="107"/>
      <c r="D36" s="107"/>
      <c r="E36" s="107"/>
      <c r="F36" s="107"/>
      <c r="G36" s="107"/>
      <c r="H36" s="107"/>
    </row>
    <row r="37" spans="1:9" x14ac:dyDescent="0.2">
      <c r="A37" s="17"/>
      <c r="B37" s="17"/>
      <c r="C37" s="108" t="s">
        <v>18</v>
      </c>
      <c r="D37" s="108"/>
      <c r="E37" s="108"/>
      <c r="F37" s="108"/>
      <c r="G37" s="108"/>
      <c r="H37" s="108"/>
    </row>
    <row r="38" spans="1:9" x14ac:dyDescent="0.2">
      <c r="A38" s="17"/>
      <c r="B38" s="17"/>
      <c r="C38" s="17"/>
      <c r="D38" s="17"/>
      <c r="E38" s="17"/>
      <c r="F38" s="17"/>
      <c r="G38" s="17"/>
      <c r="H38" s="17"/>
    </row>
    <row r="39" spans="1:9" x14ac:dyDescent="0.2">
      <c r="A39" s="17"/>
      <c r="B39" s="17"/>
      <c r="C39" s="17"/>
      <c r="D39" s="17"/>
      <c r="E39" s="17"/>
      <c r="F39" s="17"/>
      <c r="G39" s="17"/>
      <c r="H39" s="17"/>
    </row>
    <row r="40" spans="1:9" x14ac:dyDescent="0.2">
      <c r="A40" s="1" t="s">
        <v>19</v>
      </c>
      <c r="B40" s="17"/>
      <c r="C40" s="107"/>
      <c r="D40" s="107"/>
      <c r="E40" s="107"/>
      <c r="F40" s="107"/>
      <c r="G40" s="107"/>
      <c r="H40" s="107"/>
    </row>
    <row r="41" spans="1:9" x14ac:dyDescent="0.2">
      <c r="A41" s="17"/>
      <c r="B41" s="17"/>
      <c r="C41" s="108" t="s">
        <v>18</v>
      </c>
      <c r="D41" s="108"/>
      <c r="E41" s="108"/>
      <c r="F41" s="108"/>
      <c r="G41" s="108"/>
      <c r="H41" s="108"/>
    </row>
    <row r="42" spans="1:9" x14ac:dyDescent="0.2">
      <c r="A42" s="17"/>
      <c r="B42" s="17"/>
      <c r="C42" s="17"/>
      <c r="D42" s="17"/>
      <c r="E42" s="17"/>
      <c r="F42" s="17"/>
      <c r="G42" s="17"/>
      <c r="H42" s="17"/>
    </row>
    <row r="43" spans="1:9" x14ac:dyDescent="0.2">
      <c r="A43" s="85"/>
      <c r="B43" s="86"/>
      <c r="C43" s="90"/>
      <c r="D43" s="86"/>
      <c r="F43" s="17"/>
      <c r="G43" s="17"/>
      <c r="H43" s="17"/>
    </row>
    <row r="53" spans="5:9" x14ac:dyDescent="0.2">
      <c r="E53" s="21"/>
      <c r="F53" s="21"/>
      <c r="G53" s="21"/>
      <c r="H53" s="21"/>
      <c r="I53" s="21"/>
    </row>
  </sheetData>
  <mergeCells count="41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6:D26"/>
    <mergeCell ref="C36:H36"/>
    <mergeCell ref="C37:H37"/>
    <mergeCell ref="C40:H40"/>
    <mergeCell ref="C41:H41"/>
    <mergeCell ref="A27:D27"/>
    <mergeCell ref="A28:C28"/>
    <mergeCell ref="A29:C29"/>
    <mergeCell ref="A30:C30"/>
    <mergeCell ref="A31:C31"/>
  </mergeCells>
  <conditionalFormatting sqref="E27:I27">
    <cfRule type="cellIs" dxfId="195" priority="19" operator="equal">
      <formula>0</formula>
    </cfRule>
  </conditionalFormatting>
  <conditionalFormatting sqref="D10:E11">
    <cfRule type="cellIs" dxfId="194" priority="18" operator="equal">
      <formula>0</formula>
    </cfRule>
  </conditionalFormatting>
  <conditionalFormatting sqref="E15 C15:D26 E28:E31 I15:I26">
    <cfRule type="cellIs" dxfId="193" priority="16" operator="equal">
      <formula>0</formula>
    </cfRule>
  </conditionalFormatting>
  <conditionalFormatting sqref="D28:D30">
    <cfRule type="cellIs" dxfId="192" priority="14" operator="equal">
      <formula>0</formula>
    </cfRule>
  </conditionalFormatting>
  <conditionalFormatting sqref="C40:H40">
    <cfRule type="cellIs" dxfId="191" priority="11" operator="equal">
      <formula>0</formula>
    </cfRule>
  </conditionalFormatting>
  <conditionalFormatting sqref="C36:H36">
    <cfRule type="cellIs" dxfId="190" priority="10" operator="equal">
      <formula>0</formula>
    </cfRule>
  </conditionalFormatting>
  <conditionalFormatting sqref="E15:E26">
    <cfRule type="cellIs" dxfId="189" priority="8" operator="equal">
      <formula>0</formula>
    </cfRule>
  </conditionalFormatting>
  <conditionalFormatting sqref="F15:I26">
    <cfRule type="cellIs" dxfId="188" priority="7" operator="equal">
      <formula>0</formula>
    </cfRule>
  </conditionalFormatting>
  <conditionalFormatting sqref="D6:I9">
    <cfRule type="cellIs" dxfId="187" priority="6" operator="equal">
      <formula>0</formula>
    </cfRule>
  </conditionalFormatting>
  <conditionalFormatting sqref="C43">
    <cfRule type="cellIs" dxfId="186" priority="4" operator="equal">
      <formula>0</formula>
    </cfRule>
  </conditionalFormatting>
  <conditionalFormatting sqref="B15:B26">
    <cfRule type="cellIs" dxfId="185" priority="3" operator="equal">
      <formula>0</formula>
    </cfRule>
  </conditionalFormatting>
  <conditionalFormatting sqref="A15:A26">
    <cfRule type="cellIs" dxfId="18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P52"/>
  <sheetViews>
    <sheetView workbookViewId="0">
      <selection activeCell="E27" sqref="E27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42</v>
      </c>
      <c r="D1" s="50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43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1" t="s">
        <v>22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61"/>
      <c r="D4" s="161"/>
      <c r="E4" s="161"/>
      <c r="F4" s="161"/>
      <c r="G4" s="161"/>
      <c r="H4" s="161"/>
      <c r="I4" s="161"/>
      <c r="J4" s="30"/>
    </row>
    <row r="5" spans="1:16" ht="11.25" customHeight="1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7</v>
      </c>
      <c r="D6" s="173" t="str">
        <f>'Kops a'!D7</f>
        <v>Daudzdzīvokļu dzīvojamās mājas, Dakteru ielā 24, Smiltenē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9</v>
      </c>
      <c r="D7" s="173" t="str">
        <f>'Kops a'!D8</f>
        <v>Dakteru iela 24, Smiltene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25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44</v>
      </c>
      <c r="B9" s="159"/>
      <c r="C9" s="159"/>
      <c r="D9" s="159"/>
      <c r="E9" s="159"/>
      <c r="F9" s="159"/>
      <c r="G9" s="159"/>
      <c r="H9" s="159"/>
      <c r="I9" s="159"/>
      <c r="J9" s="165" t="s">
        <v>45</v>
      </c>
      <c r="K9" s="165"/>
      <c r="L9" s="165"/>
      <c r="M9" s="165"/>
      <c r="N9" s="172">
        <f>P40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7">
        <f>A46</f>
        <v>0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9" t="s">
        <v>28</v>
      </c>
      <c r="B12" s="167" t="s">
        <v>46</v>
      </c>
      <c r="C12" s="163" t="s">
        <v>47</v>
      </c>
      <c r="D12" s="170" t="s">
        <v>48</v>
      </c>
      <c r="E12" s="154" t="s">
        <v>49</v>
      </c>
      <c r="F12" s="162" t="s">
        <v>50</v>
      </c>
      <c r="G12" s="163"/>
      <c r="H12" s="163"/>
      <c r="I12" s="163"/>
      <c r="J12" s="163"/>
      <c r="K12" s="164"/>
      <c r="L12" s="162" t="s">
        <v>51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5"/>
      <c r="F13" s="36" t="s">
        <v>52</v>
      </c>
      <c r="G13" s="37" t="s">
        <v>53</v>
      </c>
      <c r="H13" s="37" t="s">
        <v>54</v>
      </c>
      <c r="I13" s="37" t="s">
        <v>55</v>
      </c>
      <c r="J13" s="37" t="s">
        <v>56</v>
      </c>
      <c r="K13" s="61" t="s">
        <v>57</v>
      </c>
      <c r="L13" s="36" t="s">
        <v>52</v>
      </c>
      <c r="M13" s="37" t="s">
        <v>54</v>
      </c>
      <c r="N13" s="37" t="s">
        <v>55</v>
      </c>
      <c r="O13" s="37" t="s">
        <v>56</v>
      </c>
      <c r="P13" s="61" t="s">
        <v>57</v>
      </c>
    </row>
    <row r="14" spans="1:16" x14ac:dyDescent="0.2">
      <c r="A14" s="94">
        <v>1</v>
      </c>
      <c r="B14" s="95"/>
      <c r="C14" s="96" t="s">
        <v>58</v>
      </c>
      <c r="D14" s="25"/>
      <c r="E14" s="64"/>
      <c r="F14" s="65"/>
      <c r="G14" s="62"/>
      <c r="H14" s="47"/>
      <c r="I14" s="62"/>
      <c r="J14" s="62"/>
      <c r="K14" s="63">
        <f>SUM(H14:J14)</f>
        <v>0</v>
      </c>
      <c r="L14" s="65">
        <f>ROUND(E14*F14,2)</f>
        <v>0</v>
      </c>
      <c r="M14" s="62">
        <f>ROUND(H14*E14,2)</f>
        <v>0</v>
      </c>
      <c r="N14" s="62">
        <f>ROUND(I14*E14,2)</f>
        <v>0</v>
      </c>
      <c r="O14" s="62">
        <f>ROUND(J14*E14,2)</f>
        <v>0</v>
      </c>
      <c r="P14" s="63">
        <f>SUM(M14:O14)</f>
        <v>0</v>
      </c>
    </row>
    <row r="15" spans="1:16" ht="22.5" x14ac:dyDescent="0.2">
      <c r="A15" s="38">
        <v>1</v>
      </c>
      <c r="B15" s="39"/>
      <c r="C15" s="93" t="s">
        <v>59</v>
      </c>
      <c r="D15" s="25" t="s">
        <v>60</v>
      </c>
      <c r="E15" s="98">
        <f>4.1*3</f>
        <v>12.3</v>
      </c>
      <c r="F15" s="65"/>
      <c r="G15" s="62"/>
      <c r="H15" s="47">
        <f>ROUND(F15*G15,2)</f>
        <v>0</v>
      </c>
      <c r="I15" s="62"/>
      <c r="J15" s="62"/>
      <c r="K15" s="48">
        <f t="shared" ref="K15:K39" si="0">SUM(H15:J15)</f>
        <v>0</v>
      </c>
      <c r="L15" s="49">
        <f t="shared" ref="L15:L39" si="1">ROUND(E15*F15,2)</f>
        <v>0</v>
      </c>
      <c r="M15" s="47">
        <f t="shared" ref="M15:M39" si="2">ROUND(H15*E15,2)</f>
        <v>0</v>
      </c>
      <c r="N15" s="47">
        <f t="shared" ref="N15:N39" si="3">ROUND(I15*E15,2)</f>
        <v>0</v>
      </c>
      <c r="O15" s="47">
        <f t="shared" ref="O15:O39" si="4">ROUND(J15*E15,2)</f>
        <v>0</v>
      </c>
      <c r="P15" s="48">
        <f t="shared" ref="P15:P39" si="5">SUM(M15:O15)</f>
        <v>0</v>
      </c>
    </row>
    <row r="16" spans="1:16" x14ac:dyDescent="0.2">
      <c r="A16" s="94">
        <v>2</v>
      </c>
      <c r="B16" s="95"/>
      <c r="C16" s="96" t="s">
        <v>61</v>
      </c>
      <c r="D16" s="25"/>
      <c r="E16" s="98"/>
      <c r="F16" s="65"/>
      <c r="G16" s="62"/>
      <c r="H16" s="47"/>
      <c r="I16" s="62"/>
      <c r="J16" s="62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38">
        <v>1</v>
      </c>
      <c r="B17" s="39"/>
      <c r="C17" s="93" t="s">
        <v>62</v>
      </c>
      <c r="D17" s="25" t="s">
        <v>60</v>
      </c>
      <c r="E17" s="98">
        <f>E15</f>
        <v>12.3</v>
      </c>
      <c r="F17" s="65"/>
      <c r="G17" s="62"/>
      <c r="H17" s="47">
        <f t="shared" ref="H17:H26" si="6">ROUND(F17*G17,2)</f>
        <v>0</v>
      </c>
      <c r="I17" s="62"/>
      <c r="J17" s="62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2.5" x14ac:dyDescent="0.2">
      <c r="A18" s="38">
        <v>2</v>
      </c>
      <c r="B18" s="39"/>
      <c r="C18" s="93" t="s">
        <v>63</v>
      </c>
      <c r="D18" s="25" t="s">
        <v>60</v>
      </c>
      <c r="E18" s="98">
        <f>E17</f>
        <v>12.3</v>
      </c>
      <c r="F18" s="65"/>
      <c r="G18" s="62"/>
      <c r="H18" s="47">
        <f t="shared" si="6"/>
        <v>0</v>
      </c>
      <c r="I18" s="62"/>
      <c r="J18" s="62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2.5" x14ac:dyDescent="0.2">
      <c r="A19" s="38">
        <v>3</v>
      </c>
      <c r="B19" s="39"/>
      <c r="C19" s="97" t="s">
        <v>64</v>
      </c>
      <c r="D19" s="25" t="s">
        <v>60</v>
      </c>
      <c r="E19" s="98">
        <f>E18*1.25</f>
        <v>15.38</v>
      </c>
      <c r="F19" s="65"/>
      <c r="G19" s="62"/>
      <c r="H19" s="47"/>
      <c r="I19" s="62"/>
      <c r="J19" s="62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x14ac:dyDescent="0.2">
      <c r="A20" s="38">
        <v>4</v>
      </c>
      <c r="B20" s="39"/>
      <c r="C20" s="97" t="s">
        <v>65</v>
      </c>
      <c r="D20" s="25" t="s">
        <v>66</v>
      </c>
      <c r="E20" s="98">
        <f>E18*5</f>
        <v>61.5</v>
      </c>
      <c r="F20" s="65"/>
      <c r="G20" s="62"/>
      <c r="H20" s="47"/>
      <c r="I20" s="62"/>
      <c r="J20" s="62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38">
        <v>5</v>
      </c>
      <c r="B21" s="39"/>
      <c r="C21" s="97" t="s">
        <v>67</v>
      </c>
      <c r="D21" s="25" t="s">
        <v>68</v>
      </c>
      <c r="E21" s="98">
        <v>1</v>
      </c>
      <c r="F21" s="65"/>
      <c r="G21" s="62"/>
      <c r="H21" s="47"/>
      <c r="I21" s="62"/>
      <c r="J21" s="62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ht="22.5" x14ac:dyDescent="0.2">
      <c r="A22" s="38">
        <v>6</v>
      </c>
      <c r="B22" s="39"/>
      <c r="C22" s="97" t="s">
        <v>69</v>
      </c>
      <c r="D22" s="25" t="s">
        <v>66</v>
      </c>
      <c r="E22" s="98">
        <f>E18*0.25</f>
        <v>3.08</v>
      </c>
      <c r="F22" s="65"/>
      <c r="G22" s="62"/>
      <c r="H22" s="47"/>
      <c r="I22" s="62"/>
      <c r="J22" s="62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x14ac:dyDescent="0.2">
      <c r="A23" s="38">
        <v>7</v>
      </c>
      <c r="B23" s="39"/>
      <c r="C23" s="93" t="s">
        <v>70</v>
      </c>
      <c r="D23" s="25" t="s">
        <v>60</v>
      </c>
      <c r="E23" s="98">
        <f>E18</f>
        <v>12.3</v>
      </c>
      <c r="F23" s="65"/>
      <c r="G23" s="62"/>
      <c r="H23" s="47">
        <f t="shared" si="6"/>
        <v>0</v>
      </c>
      <c r="I23" s="62"/>
      <c r="J23" s="62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ht="22.5" x14ac:dyDescent="0.2">
      <c r="A24" s="38">
        <v>8</v>
      </c>
      <c r="B24" s="39"/>
      <c r="C24" s="97" t="s">
        <v>71</v>
      </c>
      <c r="D24" s="25" t="s">
        <v>66</v>
      </c>
      <c r="E24" s="98">
        <f>E23*4</f>
        <v>49.2</v>
      </c>
      <c r="F24" s="65"/>
      <c r="G24" s="62"/>
      <c r="H24" s="47"/>
      <c r="I24" s="62"/>
      <c r="J24" s="62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x14ac:dyDescent="0.2">
      <c r="A25" s="38">
        <v>9</v>
      </c>
      <c r="B25" s="39"/>
      <c r="C25" s="97" t="s">
        <v>72</v>
      </c>
      <c r="D25" s="25" t="s">
        <v>68</v>
      </c>
      <c r="E25" s="98">
        <v>1</v>
      </c>
      <c r="F25" s="65"/>
      <c r="G25" s="62"/>
      <c r="H25" s="47"/>
      <c r="I25" s="62"/>
      <c r="J25" s="62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x14ac:dyDescent="0.2">
      <c r="A26" s="38">
        <v>10</v>
      </c>
      <c r="B26" s="39"/>
      <c r="C26" s="93" t="s">
        <v>73</v>
      </c>
      <c r="D26" s="25" t="s">
        <v>60</v>
      </c>
      <c r="E26" s="98">
        <f>E23</f>
        <v>12.3</v>
      </c>
      <c r="F26" s="65"/>
      <c r="G26" s="62"/>
      <c r="H26" s="47">
        <f t="shared" si="6"/>
        <v>0</v>
      </c>
      <c r="I26" s="62"/>
      <c r="J26" s="62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ht="22.5" x14ac:dyDescent="0.2">
      <c r="A27" s="38">
        <v>11</v>
      </c>
      <c r="B27" s="39"/>
      <c r="C27" s="97" t="s">
        <v>74</v>
      </c>
      <c r="D27" s="25" t="s">
        <v>75</v>
      </c>
      <c r="E27" s="98">
        <f>E26*0.45*1.2</f>
        <v>6.64</v>
      </c>
      <c r="F27" s="65"/>
      <c r="G27" s="62"/>
      <c r="H27" s="47"/>
      <c r="I27" s="62"/>
      <c r="J27" s="62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x14ac:dyDescent="0.2">
      <c r="A28" s="38">
        <v>12</v>
      </c>
      <c r="B28" s="39"/>
      <c r="C28" s="97" t="s">
        <v>72</v>
      </c>
      <c r="D28" s="25" t="s">
        <v>68</v>
      </c>
      <c r="E28" s="98">
        <v>1</v>
      </c>
      <c r="F28" s="65"/>
      <c r="G28" s="62"/>
      <c r="H28" s="47"/>
      <c r="I28" s="62"/>
      <c r="J28" s="62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x14ac:dyDescent="0.2">
      <c r="A29" s="94">
        <v>3</v>
      </c>
      <c r="B29" s="95"/>
      <c r="C29" s="96" t="s">
        <v>76</v>
      </c>
      <c r="D29" s="25"/>
      <c r="E29" s="98"/>
      <c r="F29" s="65"/>
      <c r="G29" s="62"/>
      <c r="H29" s="47"/>
      <c r="I29" s="62"/>
      <c r="J29" s="62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x14ac:dyDescent="0.2">
      <c r="A30" s="38">
        <v>1</v>
      </c>
      <c r="B30" s="39"/>
      <c r="C30" s="93" t="s">
        <v>77</v>
      </c>
      <c r="D30" s="25" t="s">
        <v>60</v>
      </c>
      <c r="E30" s="98">
        <f>E15</f>
        <v>12.3</v>
      </c>
      <c r="F30" s="65"/>
      <c r="G30" s="62"/>
      <c r="H30" s="47">
        <f t="shared" ref="H30" si="7">ROUND(F30*G30,2)</f>
        <v>0</v>
      </c>
      <c r="I30" s="62"/>
      <c r="J30" s="62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ht="22.5" x14ac:dyDescent="0.2">
      <c r="A31" s="38">
        <v>2</v>
      </c>
      <c r="B31" s="39"/>
      <c r="C31" s="97" t="s">
        <v>78</v>
      </c>
      <c r="D31" s="25" t="s">
        <v>60</v>
      </c>
      <c r="E31" s="98">
        <f>E30*1.25</f>
        <v>15.38</v>
      </c>
      <c r="F31" s="65"/>
      <c r="G31" s="62"/>
      <c r="H31" s="47"/>
      <c r="I31" s="62"/>
      <c r="J31" s="62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ht="22.5" x14ac:dyDescent="0.2">
      <c r="A32" s="38">
        <v>3</v>
      </c>
      <c r="B32" s="39"/>
      <c r="C32" s="97" t="s">
        <v>79</v>
      </c>
      <c r="D32" s="25" t="s">
        <v>60</v>
      </c>
      <c r="E32" s="98">
        <f>E30*1.25</f>
        <v>15.38</v>
      </c>
      <c r="F32" s="65"/>
      <c r="G32" s="62"/>
      <c r="H32" s="47"/>
      <c r="I32" s="62"/>
      <c r="J32" s="62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x14ac:dyDescent="0.2">
      <c r="A33" s="38">
        <v>4</v>
      </c>
      <c r="B33" s="39"/>
      <c r="C33" s="97" t="s">
        <v>80</v>
      </c>
      <c r="D33" s="25" t="s">
        <v>68</v>
      </c>
      <c r="E33" s="98">
        <v>1</v>
      </c>
      <c r="F33" s="65"/>
      <c r="G33" s="62"/>
      <c r="H33" s="47"/>
      <c r="I33" s="62"/>
      <c r="J33" s="62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x14ac:dyDescent="0.2">
      <c r="A34" s="38">
        <v>5</v>
      </c>
      <c r="B34" s="39"/>
      <c r="C34" s="93" t="s">
        <v>81</v>
      </c>
      <c r="D34" s="25" t="s">
        <v>82</v>
      </c>
      <c r="E34" s="98">
        <f>9*3</f>
        <v>27</v>
      </c>
      <c r="F34" s="65"/>
      <c r="G34" s="62"/>
      <c r="H34" s="47">
        <f t="shared" ref="H34" si="8">ROUND(F34*G34,2)</f>
        <v>0</v>
      </c>
      <c r="I34" s="62"/>
      <c r="J34" s="62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x14ac:dyDescent="0.2">
      <c r="A35" s="38">
        <v>6</v>
      </c>
      <c r="B35" s="39"/>
      <c r="C35" s="97" t="s">
        <v>83</v>
      </c>
      <c r="D35" s="25" t="s">
        <v>82</v>
      </c>
      <c r="E35" s="98">
        <f>E34*1.15</f>
        <v>31.05</v>
      </c>
      <c r="F35" s="65"/>
      <c r="G35" s="62"/>
      <c r="H35" s="47"/>
      <c r="I35" s="62"/>
      <c r="J35" s="62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x14ac:dyDescent="0.2">
      <c r="A36" s="38">
        <v>7</v>
      </c>
      <c r="B36" s="39"/>
      <c r="C36" s="97" t="s">
        <v>84</v>
      </c>
      <c r="D36" s="25" t="s">
        <v>85</v>
      </c>
      <c r="E36" s="98">
        <v>1</v>
      </c>
      <c r="F36" s="65"/>
      <c r="G36" s="62"/>
      <c r="H36" s="47"/>
      <c r="I36" s="62"/>
      <c r="J36" s="62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x14ac:dyDescent="0.2">
      <c r="A37" s="38">
        <v>8</v>
      </c>
      <c r="B37" s="39"/>
      <c r="C37" s="93" t="s">
        <v>86</v>
      </c>
      <c r="D37" s="25" t="s">
        <v>82</v>
      </c>
      <c r="E37" s="98">
        <f>2.75*3</f>
        <v>8.25</v>
      </c>
      <c r="F37" s="65"/>
      <c r="G37" s="62"/>
      <c r="H37" s="47">
        <f t="shared" ref="H37" si="9">ROUND(F37*G37,2)</f>
        <v>0</v>
      </c>
      <c r="I37" s="62"/>
      <c r="J37" s="62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ht="22.5" x14ac:dyDescent="0.2">
      <c r="A38" s="38">
        <v>9</v>
      </c>
      <c r="B38" s="39"/>
      <c r="C38" s="97" t="s">
        <v>87</v>
      </c>
      <c r="D38" s="25" t="s">
        <v>82</v>
      </c>
      <c r="E38" s="98">
        <f>E37*1.15</f>
        <v>9.49</v>
      </c>
      <c r="F38" s="65"/>
      <c r="G38" s="62"/>
      <c r="H38" s="47"/>
      <c r="I38" s="62"/>
      <c r="J38" s="62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ht="12" thickBot="1" x14ac:dyDescent="0.25">
      <c r="A39" s="38">
        <v>10</v>
      </c>
      <c r="B39" s="39"/>
      <c r="C39" s="97" t="s">
        <v>84</v>
      </c>
      <c r="D39" s="25" t="s">
        <v>85</v>
      </c>
      <c r="E39" s="98">
        <v>1</v>
      </c>
      <c r="F39" s="65"/>
      <c r="G39" s="62"/>
      <c r="H39" s="47"/>
      <c r="I39" s="62"/>
      <c r="J39" s="62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ht="12" thickBot="1" x14ac:dyDescent="0.25">
      <c r="A40" s="156" t="s">
        <v>88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66">
        <f>SUM(L14:L39)</f>
        <v>0</v>
      </c>
      <c r="M40" s="67">
        <f>SUM(M14:M39)</f>
        <v>0</v>
      </c>
      <c r="N40" s="67">
        <f>SUM(N14:N39)</f>
        <v>0</v>
      </c>
      <c r="O40" s="67">
        <f>SUM(O14:O39)</f>
        <v>0</v>
      </c>
      <c r="P40" s="68">
        <f>SUM(P14:P39)</f>
        <v>0</v>
      </c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1.1" customHeight="1" x14ac:dyDescent="0.2">
      <c r="A43" s="1" t="s">
        <v>17</v>
      </c>
      <c r="B43" s="17"/>
      <c r="C43" s="107"/>
      <c r="D43" s="107"/>
      <c r="E43" s="107"/>
      <c r="F43" s="107"/>
      <c r="G43" s="107"/>
      <c r="H43" s="107"/>
      <c r="I43" s="17"/>
      <c r="J43" s="17"/>
      <c r="K43" s="17"/>
      <c r="L43" s="17"/>
      <c r="M43" s="17"/>
      <c r="N43" s="17"/>
      <c r="O43" s="17"/>
      <c r="P43" s="17"/>
    </row>
    <row r="44" spans="1:16" ht="11.1" customHeight="1" x14ac:dyDescent="0.2">
      <c r="A44" s="17"/>
      <c r="B44" s="17"/>
      <c r="C44" s="108" t="s">
        <v>18</v>
      </c>
      <c r="D44" s="108"/>
      <c r="E44" s="108"/>
      <c r="F44" s="108"/>
      <c r="G44" s="108"/>
      <c r="H44" s="108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" t="s">
        <v>19</v>
      </c>
      <c r="B47" s="17"/>
      <c r="C47" s="107"/>
      <c r="D47" s="107"/>
      <c r="E47" s="107"/>
      <c r="F47" s="107"/>
      <c r="G47" s="107"/>
      <c r="H47" s="107"/>
      <c r="I47" s="17"/>
      <c r="J47" s="17"/>
      <c r="K47" s="17"/>
      <c r="L47" s="17"/>
      <c r="M47" s="17"/>
      <c r="N47" s="17"/>
      <c r="O47" s="17"/>
      <c r="P47" s="17"/>
    </row>
    <row r="48" spans="1:16" ht="11.1" customHeight="1" x14ac:dyDescent="0.2">
      <c r="A48" s="17"/>
      <c r="B48" s="17"/>
      <c r="C48" s="108" t="s">
        <v>18</v>
      </c>
      <c r="D48" s="108"/>
      <c r="E48" s="108"/>
      <c r="F48" s="108"/>
      <c r="G48" s="108"/>
      <c r="H48" s="108"/>
      <c r="I48" s="17"/>
      <c r="J48" s="17"/>
      <c r="K48" s="17"/>
      <c r="L48" s="17"/>
      <c r="M48" s="17"/>
      <c r="N48" s="17"/>
      <c r="O48" s="17"/>
      <c r="P48" s="17"/>
    </row>
    <row r="49" spans="1:16" ht="11.1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85" t="s">
        <v>20</v>
      </c>
      <c r="B50" s="86"/>
      <c r="C50" s="90"/>
      <c r="D50" s="8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I52" s="17"/>
      <c r="J52" s="17"/>
      <c r="K52" s="17"/>
      <c r="L52" s="17"/>
      <c r="M52" s="17"/>
      <c r="N52" s="17"/>
      <c r="O52" s="17"/>
      <c r="P52" s="17"/>
    </row>
  </sheetData>
  <mergeCells count="22"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48:H48"/>
    <mergeCell ref="C43:H43"/>
    <mergeCell ref="C44:H44"/>
    <mergeCell ref="A40:K40"/>
    <mergeCell ref="C47:H47"/>
  </mergeCells>
  <conditionalFormatting sqref="I14:J39 A14:G39">
    <cfRule type="cellIs" dxfId="182" priority="26" operator="equal">
      <formula>0</formula>
    </cfRule>
  </conditionalFormatting>
  <conditionalFormatting sqref="N9:O9 K14:P39 H14:H39">
    <cfRule type="cellIs" dxfId="181" priority="24" operator="equal">
      <formula>0</formula>
    </cfRule>
  </conditionalFormatting>
  <conditionalFormatting sqref="C2:I2">
    <cfRule type="cellIs" dxfId="180" priority="21" operator="equal">
      <formula>0</formula>
    </cfRule>
  </conditionalFormatting>
  <conditionalFormatting sqref="O10:P10">
    <cfRule type="cellIs" dxfId="179" priority="20" operator="equal">
      <formula>"20__. gada __. _________"</formula>
    </cfRule>
  </conditionalFormatting>
  <conditionalFormatting sqref="A40:K40">
    <cfRule type="containsText" dxfId="178" priority="18" operator="containsText" text="Tiešās izmaksas kopā, t. sk. darba devēja sociālais nodoklis __.__% ">
      <formula>NOT(ISERROR(SEARCH("Tiešās izmaksas kopā, t. sk. darba devēja sociālais nodoklis __.__% ",A40)))</formula>
    </cfRule>
  </conditionalFormatting>
  <conditionalFormatting sqref="L40:P40">
    <cfRule type="cellIs" dxfId="177" priority="13" operator="equal">
      <formula>0</formula>
    </cfRule>
  </conditionalFormatting>
  <conditionalFormatting sqref="C4:I4">
    <cfRule type="cellIs" dxfId="176" priority="12" operator="equal">
      <formula>0</formula>
    </cfRule>
  </conditionalFormatting>
  <conditionalFormatting sqref="D5:L8">
    <cfRule type="cellIs" dxfId="175" priority="10" operator="equal">
      <formula>0</formula>
    </cfRule>
  </conditionalFormatting>
  <conditionalFormatting sqref="D1">
    <cfRule type="cellIs" dxfId="174" priority="8" operator="equal">
      <formula>0</formula>
    </cfRule>
  </conditionalFormatting>
  <conditionalFormatting sqref="A9">
    <cfRule type="containsText" dxfId="173" priority="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47:H47">
    <cfRule type="cellIs" dxfId="172" priority="4" operator="equal">
      <formula>0</formula>
    </cfRule>
  </conditionalFormatting>
  <conditionalFormatting sqref="C43:H43">
    <cfRule type="cellIs" dxfId="171" priority="3" operator="equal">
      <formula>0</formula>
    </cfRule>
  </conditionalFormatting>
  <conditionalFormatting sqref="C50">
    <cfRule type="cellIs" dxfId="170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1FF71BF-0E6B-8745-837F-D06D43BE3331}">
            <xm:f>NOT(ISERROR(SEARCH("Sertifikāta Nr. _________________________________",A50)))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Y120"/>
  <sheetViews>
    <sheetView topLeftCell="A67" workbookViewId="0">
      <selection activeCell="E94" sqref="E94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7" width="13.85546875" style="1" customWidth="1"/>
    <col min="18" max="23" width="9.140625" style="1"/>
    <col min="24" max="24" width="12.42578125" style="1" customWidth="1"/>
    <col min="25" max="16384" width="9.140625" style="1"/>
  </cols>
  <sheetData>
    <row r="1" spans="1:16" x14ac:dyDescent="0.2">
      <c r="A1" s="23"/>
      <c r="B1" s="23"/>
      <c r="C1" s="27" t="s">
        <v>42</v>
      </c>
      <c r="D1" s="50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89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1" t="s">
        <v>22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61"/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x14ac:dyDescent="0.2">
      <c r="A6" s="23"/>
      <c r="B6" s="23"/>
      <c r="C6" s="27" t="s">
        <v>7</v>
      </c>
      <c r="D6" s="173" t="str">
        <f>'Kops a'!D7</f>
        <v>Daudzdzīvokļu dzīvojamās mājas, Dakteru ielā 24, Smiltenē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9</v>
      </c>
      <c r="D7" s="173" t="str">
        <f>'Kops a'!D8</f>
        <v>Dakteru iela 24, Smiltene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25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44</v>
      </c>
      <c r="B9" s="159"/>
      <c r="C9" s="159"/>
      <c r="D9" s="159"/>
      <c r="E9" s="159"/>
      <c r="F9" s="159"/>
      <c r="G9" s="159"/>
      <c r="H9" s="159"/>
      <c r="I9" s="159"/>
      <c r="J9" s="165" t="s">
        <v>45</v>
      </c>
      <c r="K9" s="165"/>
      <c r="L9" s="165"/>
      <c r="M9" s="165"/>
      <c r="N9" s="172">
        <f>P108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>
        <f>A114</f>
        <v>0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9" t="s">
        <v>28</v>
      </c>
      <c r="B12" s="167" t="s">
        <v>46</v>
      </c>
      <c r="C12" s="163" t="s">
        <v>47</v>
      </c>
      <c r="D12" s="170" t="s">
        <v>48</v>
      </c>
      <c r="E12" s="154" t="s">
        <v>49</v>
      </c>
      <c r="F12" s="162" t="s">
        <v>50</v>
      </c>
      <c r="G12" s="163"/>
      <c r="H12" s="163"/>
      <c r="I12" s="163"/>
      <c r="J12" s="163"/>
      <c r="K12" s="164"/>
      <c r="L12" s="162" t="s">
        <v>51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5"/>
      <c r="F13" s="36" t="s">
        <v>52</v>
      </c>
      <c r="G13" s="37" t="s">
        <v>53</v>
      </c>
      <c r="H13" s="37" t="s">
        <v>54</v>
      </c>
      <c r="I13" s="37" t="s">
        <v>55</v>
      </c>
      <c r="J13" s="37" t="s">
        <v>56</v>
      </c>
      <c r="K13" s="61" t="s">
        <v>57</v>
      </c>
      <c r="L13" s="36" t="s">
        <v>52</v>
      </c>
      <c r="M13" s="37" t="s">
        <v>54</v>
      </c>
      <c r="N13" s="37" t="s">
        <v>55</v>
      </c>
      <c r="O13" s="37" t="s">
        <v>56</v>
      </c>
      <c r="P13" s="61" t="s">
        <v>57</v>
      </c>
    </row>
    <row r="14" spans="1:16" x14ac:dyDescent="0.2">
      <c r="A14" s="94">
        <v>1</v>
      </c>
      <c r="B14" s="95"/>
      <c r="C14" s="96" t="s">
        <v>58</v>
      </c>
      <c r="D14" s="25"/>
      <c r="E14" s="98"/>
      <c r="F14" s="65"/>
      <c r="G14" s="62"/>
      <c r="H14" s="47"/>
      <c r="I14" s="62"/>
      <c r="J14" s="62"/>
      <c r="K14" s="63">
        <f>SUM(H14:J14)</f>
        <v>0</v>
      </c>
      <c r="L14" s="65">
        <f>ROUND(E14*F14,2)</f>
        <v>0</v>
      </c>
      <c r="M14" s="62">
        <f>ROUND(H14*E14,2)</f>
        <v>0</v>
      </c>
      <c r="N14" s="62">
        <f>ROUND(I14*E14,2)</f>
        <v>0</v>
      </c>
      <c r="O14" s="62">
        <f>ROUND(J14*E14,2)</f>
        <v>0</v>
      </c>
      <c r="P14" s="63">
        <f>SUM(M14:O14)</f>
        <v>0</v>
      </c>
    </row>
    <row r="15" spans="1:16" ht="22.5" x14ac:dyDescent="0.2">
      <c r="A15" s="38">
        <v>1</v>
      </c>
      <c r="B15" s="39"/>
      <c r="C15" s="93" t="s">
        <v>90</v>
      </c>
      <c r="D15" s="25" t="s">
        <v>60</v>
      </c>
      <c r="E15" s="98">
        <f>208+199+208</f>
        <v>615</v>
      </c>
      <c r="F15" s="65"/>
      <c r="G15" s="62"/>
      <c r="H15" s="47">
        <f>ROUND(F15*G15,2)</f>
        <v>0</v>
      </c>
      <c r="I15" s="62"/>
      <c r="J15" s="62"/>
      <c r="K15" s="48">
        <f t="shared" ref="K15:K74" si="0">SUM(H15:J15)</f>
        <v>0</v>
      </c>
      <c r="L15" s="49">
        <f t="shared" ref="L15:L74" si="1">ROUND(E15*F15,2)</f>
        <v>0</v>
      </c>
      <c r="M15" s="47">
        <f t="shared" ref="M15:M74" si="2">ROUND(H15*E15,2)</f>
        <v>0</v>
      </c>
      <c r="N15" s="47">
        <f t="shared" ref="N15:N74" si="3">ROUND(I15*E15,2)</f>
        <v>0</v>
      </c>
      <c r="O15" s="47">
        <f t="shared" ref="O15:O74" si="4">ROUND(J15*E15,2)</f>
        <v>0</v>
      </c>
      <c r="P15" s="48">
        <f t="shared" ref="P15:P74" si="5">SUM(M15:O15)</f>
        <v>0</v>
      </c>
    </row>
    <row r="16" spans="1:16" x14ac:dyDescent="0.2">
      <c r="A16" s="38">
        <v>2</v>
      </c>
      <c r="B16" s="39"/>
      <c r="C16" s="93" t="s">
        <v>91</v>
      </c>
      <c r="D16" s="25" t="s">
        <v>60</v>
      </c>
      <c r="E16" s="98">
        <v>64.099999999999994</v>
      </c>
      <c r="F16" s="65"/>
      <c r="G16" s="62"/>
      <c r="H16" s="47">
        <f>ROUND(F16*G16,2)</f>
        <v>0</v>
      </c>
      <c r="I16" s="62"/>
      <c r="J16" s="62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22" ht="22.5" x14ac:dyDescent="0.2">
      <c r="A17" s="38">
        <v>3</v>
      </c>
      <c r="B17" s="39"/>
      <c r="C17" s="93" t="s">
        <v>92</v>
      </c>
      <c r="D17" s="25" t="s">
        <v>82</v>
      </c>
      <c r="E17" s="98">
        <v>301</v>
      </c>
      <c r="F17" s="65"/>
      <c r="G17" s="62"/>
      <c r="H17" s="47">
        <f t="shared" ref="H17:H20" si="6">ROUND(F17*G17,2)</f>
        <v>0</v>
      </c>
      <c r="I17" s="62"/>
      <c r="J17" s="62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  <c r="Q17" s="103"/>
      <c r="R17" s="105"/>
    </row>
    <row r="18" spans="1:22" ht="22.5" x14ac:dyDescent="0.2">
      <c r="A18" s="38">
        <v>4</v>
      </c>
      <c r="B18" s="39"/>
      <c r="C18" s="93" t="s">
        <v>93</v>
      </c>
      <c r="D18" s="25" t="s">
        <v>60</v>
      </c>
      <c r="E18" s="98">
        <v>444</v>
      </c>
      <c r="F18" s="65"/>
      <c r="G18" s="62"/>
      <c r="H18" s="47">
        <f t="shared" si="6"/>
        <v>0</v>
      </c>
      <c r="I18" s="62"/>
      <c r="J18" s="62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  <c r="Q18" s="103"/>
      <c r="R18" s="105"/>
      <c r="S18" s="174"/>
      <c r="T18" s="174"/>
      <c r="U18" s="174"/>
      <c r="V18" s="174"/>
    </row>
    <row r="19" spans="1:22" ht="22.5" x14ac:dyDescent="0.2">
      <c r="A19" s="38">
        <v>5</v>
      </c>
      <c r="B19" s="39"/>
      <c r="C19" s="93" t="s">
        <v>94</v>
      </c>
      <c r="D19" s="25" t="s">
        <v>95</v>
      </c>
      <c r="E19" s="98">
        <v>2</v>
      </c>
      <c r="F19" s="65"/>
      <c r="G19" s="62"/>
      <c r="H19" s="47">
        <f t="shared" si="6"/>
        <v>0</v>
      </c>
      <c r="I19" s="62"/>
      <c r="J19" s="62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22" x14ac:dyDescent="0.2">
      <c r="A20" s="38">
        <v>6</v>
      </c>
      <c r="B20" s="39"/>
      <c r="C20" s="93" t="s">
        <v>96</v>
      </c>
      <c r="D20" s="25" t="s">
        <v>97</v>
      </c>
      <c r="E20" s="98">
        <v>1</v>
      </c>
      <c r="F20" s="65"/>
      <c r="G20" s="62"/>
      <c r="H20" s="47">
        <f t="shared" si="6"/>
        <v>0</v>
      </c>
      <c r="I20" s="62"/>
      <c r="J20" s="62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22" x14ac:dyDescent="0.2">
      <c r="A21" s="94">
        <v>2</v>
      </c>
      <c r="B21" s="95"/>
      <c r="C21" s="96" t="s">
        <v>98</v>
      </c>
      <c r="D21" s="25"/>
      <c r="E21" s="98"/>
      <c r="F21" s="65"/>
      <c r="G21" s="62"/>
      <c r="H21" s="47"/>
      <c r="I21" s="62"/>
      <c r="J21" s="62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22" ht="22.5" x14ac:dyDescent="0.2">
      <c r="A22" s="38">
        <v>1</v>
      </c>
      <c r="B22" s="39"/>
      <c r="C22" s="93" t="s">
        <v>99</v>
      </c>
      <c r="D22" s="25" t="s">
        <v>85</v>
      </c>
      <c r="E22" s="98">
        <v>1</v>
      </c>
      <c r="F22" s="65"/>
      <c r="G22" s="62"/>
      <c r="H22" s="47">
        <f t="shared" ref="H22:H23" si="7">ROUND(F22*G22,2)</f>
        <v>0</v>
      </c>
      <c r="I22" s="62"/>
      <c r="J22" s="62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22" x14ac:dyDescent="0.2">
      <c r="A23" s="38">
        <v>2</v>
      </c>
      <c r="B23" s="39"/>
      <c r="C23" s="93" t="s">
        <v>100</v>
      </c>
      <c r="D23" s="25" t="s">
        <v>60</v>
      </c>
      <c r="E23" s="98">
        <f>E15</f>
        <v>615</v>
      </c>
      <c r="F23" s="65"/>
      <c r="G23" s="62"/>
      <c r="H23" s="47">
        <f t="shared" si="7"/>
        <v>0</v>
      </c>
      <c r="I23" s="62"/>
      <c r="J23" s="62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22" ht="22.5" x14ac:dyDescent="0.2">
      <c r="A24" s="38">
        <v>3</v>
      </c>
      <c r="B24" s="39"/>
      <c r="C24" s="97" t="s">
        <v>101</v>
      </c>
      <c r="D24" s="25" t="s">
        <v>60</v>
      </c>
      <c r="E24" s="98">
        <f>E23*1.25</f>
        <v>768.75</v>
      </c>
      <c r="F24" s="65"/>
      <c r="G24" s="62"/>
      <c r="H24" s="47"/>
      <c r="I24" s="62"/>
      <c r="J24" s="62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22" x14ac:dyDescent="0.2">
      <c r="A25" s="38">
        <v>4</v>
      </c>
      <c r="B25" s="39"/>
      <c r="C25" s="97" t="s">
        <v>102</v>
      </c>
      <c r="D25" s="25" t="s">
        <v>68</v>
      </c>
      <c r="E25" s="98">
        <v>1</v>
      </c>
      <c r="F25" s="65"/>
      <c r="G25" s="62"/>
      <c r="H25" s="47"/>
      <c r="I25" s="62"/>
      <c r="J25" s="62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22" ht="22.5" x14ac:dyDescent="0.2">
      <c r="A26" s="38">
        <v>5</v>
      </c>
      <c r="B26" s="39"/>
      <c r="C26" s="93" t="s">
        <v>103</v>
      </c>
      <c r="D26" s="25" t="s">
        <v>104</v>
      </c>
      <c r="E26" s="98">
        <f>615/1.2*0.025*0.05</f>
        <v>0.64</v>
      </c>
      <c r="F26" s="65"/>
      <c r="G26" s="62"/>
      <c r="H26" s="47">
        <f t="shared" ref="H26" si="8">ROUND(F26*G26,2)</f>
        <v>0</v>
      </c>
      <c r="I26" s="62"/>
      <c r="J26" s="62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22" x14ac:dyDescent="0.2">
      <c r="A27" s="38">
        <v>6</v>
      </c>
      <c r="B27" s="39"/>
      <c r="C27" s="97" t="s">
        <v>105</v>
      </c>
      <c r="D27" s="25" t="s">
        <v>104</v>
      </c>
      <c r="E27" s="98">
        <f>E26*1.1</f>
        <v>0.7</v>
      </c>
      <c r="F27" s="65"/>
      <c r="G27" s="62"/>
      <c r="H27" s="47"/>
      <c r="I27" s="62"/>
      <c r="J27" s="62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22" x14ac:dyDescent="0.2">
      <c r="A28" s="38">
        <v>7</v>
      </c>
      <c r="B28" s="39"/>
      <c r="C28" s="97" t="s">
        <v>84</v>
      </c>
      <c r="D28" s="25" t="s">
        <v>85</v>
      </c>
      <c r="E28" s="98">
        <v>1</v>
      </c>
      <c r="F28" s="65"/>
      <c r="G28" s="62"/>
      <c r="H28" s="47"/>
      <c r="I28" s="62"/>
      <c r="J28" s="62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22" x14ac:dyDescent="0.2">
      <c r="A29" s="38">
        <v>8</v>
      </c>
      <c r="B29" s="39"/>
      <c r="C29" s="93" t="s">
        <v>106</v>
      </c>
      <c r="D29" s="25" t="s">
        <v>104</v>
      </c>
      <c r="E29" s="98">
        <f>615/0.35*0.032*0.1</f>
        <v>5.62</v>
      </c>
      <c r="F29" s="65"/>
      <c r="G29" s="62"/>
      <c r="H29" s="47">
        <f t="shared" ref="H29" si="9">ROUND(F29*G29,2)</f>
        <v>0</v>
      </c>
      <c r="I29" s="62"/>
      <c r="J29" s="62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22" ht="22.5" x14ac:dyDescent="0.2">
      <c r="A30" s="38">
        <v>9</v>
      </c>
      <c r="B30" s="39"/>
      <c r="C30" s="97" t="s">
        <v>107</v>
      </c>
      <c r="D30" s="25" t="s">
        <v>104</v>
      </c>
      <c r="E30" s="98">
        <f>E29*1.1</f>
        <v>6.18</v>
      </c>
      <c r="F30" s="65"/>
      <c r="G30" s="62"/>
      <c r="H30" s="47"/>
      <c r="I30" s="62"/>
      <c r="J30" s="62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22" x14ac:dyDescent="0.2">
      <c r="A31" s="38">
        <v>10</v>
      </c>
      <c r="B31" s="39"/>
      <c r="C31" s="97" t="s">
        <v>84</v>
      </c>
      <c r="D31" s="25" t="s">
        <v>85</v>
      </c>
      <c r="E31" s="98">
        <v>1</v>
      </c>
      <c r="F31" s="65"/>
      <c r="G31" s="62"/>
      <c r="H31" s="47"/>
      <c r="I31" s="62"/>
      <c r="J31" s="62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22" ht="33.75" x14ac:dyDescent="0.2">
      <c r="A32" s="38">
        <v>11</v>
      </c>
      <c r="B32" s="39"/>
      <c r="C32" s="93" t="s">
        <v>108</v>
      </c>
      <c r="D32" s="25" t="s">
        <v>60</v>
      </c>
      <c r="E32" s="98">
        <f>E23</f>
        <v>615</v>
      </c>
      <c r="F32" s="65"/>
      <c r="G32" s="62"/>
      <c r="H32" s="47">
        <f t="shared" ref="H32" si="10">ROUND(F32*G32,2)</f>
        <v>0</v>
      </c>
      <c r="I32" s="62"/>
      <c r="J32" s="62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ht="22.5" x14ac:dyDescent="0.2">
      <c r="A33" s="38">
        <v>12</v>
      </c>
      <c r="B33" s="39"/>
      <c r="C33" s="97" t="s">
        <v>109</v>
      </c>
      <c r="D33" s="25" t="s">
        <v>60</v>
      </c>
      <c r="E33" s="98">
        <f>E32*1.25</f>
        <v>768.75</v>
      </c>
      <c r="F33" s="65"/>
      <c r="G33" s="62"/>
      <c r="H33" s="47"/>
      <c r="I33" s="62"/>
      <c r="J33" s="62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x14ac:dyDescent="0.2">
      <c r="A34" s="38">
        <v>13</v>
      </c>
      <c r="B34" s="39"/>
      <c r="C34" s="97" t="s">
        <v>84</v>
      </c>
      <c r="D34" s="25" t="s">
        <v>85</v>
      </c>
      <c r="E34" s="98">
        <v>1</v>
      </c>
      <c r="F34" s="65"/>
      <c r="G34" s="62"/>
      <c r="H34" s="47"/>
      <c r="I34" s="62"/>
      <c r="J34" s="62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x14ac:dyDescent="0.2">
      <c r="A35" s="38">
        <v>14</v>
      </c>
      <c r="B35" s="39"/>
      <c r="C35" s="93" t="s">
        <v>110</v>
      </c>
      <c r="D35" s="25" t="s">
        <v>85</v>
      </c>
      <c r="E35" s="98">
        <v>3</v>
      </c>
      <c r="F35" s="65"/>
      <c r="G35" s="62"/>
      <c r="H35" s="47">
        <f t="shared" ref="H35:H36" si="11">ROUND(F35*G35,2)</f>
        <v>0</v>
      </c>
      <c r="I35" s="62"/>
      <c r="J35" s="62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x14ac:dyDescent="0.2">
      <c r="A36" s="38">
        <v>15</v>
      </c>
      <c r="B36" s="39"/>
      <c r="C36" s="93" t="s">
        <v>81</v>
      </c>
      <c r="D36" s="25" t="s">
        <v>82</v>
      </c>
      <c r="E36" s="98">
        <f>56.5*3</f>
        <v>169.5</v>
      </c>
      <c r="F36" s="65"/>
      <c r="G36" s="62"/>
      <c r="H36" s="47">
        <f t="shared" si="11"/>
        <v>0</v>
      </c>
      <c r="I36" s="62"/>
      <c r="J36" s="62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x14ac:dyDescent="0.2">
      <c r="A37" s="38">
        <v>16</v>
      </c>
      <c r="B37" s="39"/>
      <c r="C37" s="97" t="s">
        <v>83</v>
      </c>
      <c r="D37" s="25" t="s">
        <v>82</v>
      </c>
      <c r="E37" s="98">
        <f>E36*1.15</f>
        <v>194.93</v>
      </c>
      <c r="F37" s="65"/>
      <c r="G37" s="62"/>
      <c r="H37" s="47"/>
      <c r="I37" s="62"/>
      <c r="J37" s="62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x14ac:dyDescent="0.2">
      <c r="A38" s="38">
        <v>17</v>
      </c>
      <c r="B38" s="39"/>
      <c r="C38" s="97" t="s">
        <v>111</v>
      </c>
      <c r="D38" s="25" t="s">
        <v>68</v>
      </c>
      <c r="E38" s="98">
        <v>1</v>
      </c>
      <c r="F38" s="65"/>
      <c r="G38" s="62"/>
      <c r="H38" s="47"/>
      <c r="I38" s="62"/>
      <c r="J38" s="62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x14ac:dyDescent="0.2">
      <c r="A39" s="38">
        <v>18</v>
      </c>
      <c r="B39" s="39"/>
      <c r="C39" s="93" t="s">
        <v>112</v>
      </c>
      <c r="D39" s="25" t="s">
        <v>104</v>
      </c>
      <c r="E39" s="98">
        <f>(50.7*3)/0.5*0.3*0.05*0.05*2</f>
        <v>0.46</v>
      </c>
      <c r="F39" s="65"/>
      <c r="G39" s="62"/>
      <c r="H39" s="47">
        <f t="shared" ref="H39" si="12">ROUND(F39*G39,2)</f>
        <v>0</v>
      </c>
      <c r="I39" s="62"/>
      <c r="J39" s="62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x14ac:dyDescent="0.2">
      <c r="A40" s="38">
        <v>19</v>
      </c>
      <c r="B40" s="39"/>
      <c r="C40" s="97" t="s">
        <v>113</v>
      </c>
      <c r="D40" s="25" t="s">
        <v>104</v>
      </c>
      <c r="E40" s="98">
        <f>E39*1.15</f>
        <v>0.53</v>
      </c>
      <c r="F40" s="65"/>
      <c r="G40" s="62"/>
      <c r="H40" s="47"/>
      <c r="I40" s="62"/>
      <c r="J40" s="62"/>
      <c r="K40" s="48">
        <f t="shared" si="0"/>
        <v>0</v>
      </c>
      <c r="L40" s="49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0</v>
      </c>
      <c r="P40" s="48">
        <f t="shared" si="5"/>
        <v>0</v>
      </c>
    </row>
    <row r="41" spans="1:16" x14ac:dyDescent="0.2">
      <c r="A41" s="38">
        <v>20</v>
      </c>
      <c r="B41" s="39"/>
      <c r="C41" s="97" t="s">
        <v>111</v>
      </c>
      <c r="D41" s="25" t="s">
        <v>68</v>
      </c>
      <c r="E41" s="98">
        <v>1</v>
      </c>
      <c r="F41" s="65"/>
      <c r="G41" s="62"/>
      <c r="H41" s="47"/>
      <c r="I41" s="62"/>
      <c r="J41" s="62"/>
      <c r="K41" s="48">
        <f t="shared" si="0"/>
        <v>0</v>
      </c>
      <c r="L41" s="49">
        <f t="shared" si="1"/>
        <v>0</v>
      </c>
      <c r="M41" s="47">
        <f t="shared" si="2"/>
        <v>0</v>
      </c>
      <c r="N41" s="47">
        <f t="shared" si="3"/>
        <v>0</v>
      </c>
      <c r="O41" s="47">
        <f t="shared" si="4"/>
        <v>0</v>
      </c>
      <c r="P41" s="48">
        <f t="shared" si="5"/>
        <v>0</v>
      </c>
    </row>
    <row r="42" spans="1:16" ht="22.5" x14ac:dyDescent="0.2">
      <c r="A42" s="38">
        <v>21</v>
      </c>
      <c r="B42" s="39"/>
      <c r="C42" s="93" t="s">
        <v>114</v>
      </c>
      <c r="D42" s="25" t="s">
        <v>60</v>
      </c>
      <c r="E42" s="98">
        <f>50.7*0.3</f>
        <v>15.21</v>
      </c>
      <c r="F42" s="65"/>
      <c r="G42" s="62"/>
      <c r="H42" s="47">
        <f t="shared" ref="H42" si="13">ROUND(F42*G42,2)</f>
        <v>0</v>
      </c>
      <c r="I42" s="62"/>
      <c r="J42" s="62"/>
      <c r="K42" s="48">
        <f t="shared" si="0"/>
        <v>0</v>
      </c>
      <c r="L42" s="49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0</v>
      </c>
      <c r="P42" s="48">
        <f t="shared" si="5"/>
        <v>0</v>
      </c>
    </row>
    <row r="43" spans="1:16" x14ac:dyDescent="0.2">
      <c r="A43" s="38">
        <v>22</v>
      </c>
      <c r="B43" s="39"/>
      <c r="C43" s="97" t="s">
        <v>115</v>
      </c>
      <c r="D43" s="25" t="s">
        <v>60</v>
      </c>
      <c r="E43" s="98">
        <f>E42*1.15</f>
        <v>17.489999999999998</v>
      </c>
      <c r="F43" s="65"/>
      <c r="G43" s="62"/>
      <c r="H43" s="47"/>
      <c r="I43" s="62"/>
      <c r="J43" s="62"/>
      <c r="K43" s="48">
        <f t="shared" si="0"/>
        <v>0</v>
      </c>
      <c r="L43" s="49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0</v>
      </c>
      <c r="P43" s="48">
        <f t="shared" si="5"/>
        <v>0</v>
      </c>
    </row>
    <row r="44" spans="1:16" x14ac:dyDescent="0.2">
      <c r="A44" s="38">
        <v>23</v>
      </c>
      <c r="B44" s="39"/>
      <c r="C44" s="97" t="s">
        <v>111</v>
      </c>
      <c r="D44" s="25" t="s">
        <v>68</v>
      </c>
      <c r="E44" s="98">
        <v>1</v>
      </c>
      <c r="F44" s="65"/>
      <c r="G44" s="62"/>
      <c r="H44" s="47"/>
      <c r="I44" s="62"/>
      <c r="J44" s="62"/>
      <c r="K44" s="48">
        <f t="shared" si="0"/>
        <v>0</v>
      </c>
      <c r="L44" s="49">
        <f t="shared" si="1"/>
        <v>0</v>
      </c>
      <c r="M44" s="47">
        <f t="shared" si="2"/>
        <v>0</v>
      </c>
      <c r="N44" s="47">
        <f t="shared" si="3"/>
        <v>0</v>
      </c>
      <c r="O44" s="47">
        <f t="shared" si="4"/>
        <v>0</v>
      </c>
      <c r="P44" s="48">
        <f t="shared" si="5"/>
        <v>0</v>
      </c>
    </row>
    <row r="45" spans="1:16" x14ac:dyDescent="0.2">
      <c r="A45" s="38">
        <v>24</v>
      </c>
      <c r="B45" s="39"/>
      <c r="C45" s="93" t="s">
        <v>116</v>
      </c>
      <c r="D45" s="25" t="s">
        <v>60</v>
      </c>
      <c r="E45" s="98">
        <f>E42</f>
        <v>15.21</v>
      </c>
      <c r="F45" s="65"/>
      <c r="G45" s="62"/>
      <c r="H45" s="47">
        <f t="shared" ref="H45" si="14">ROUND(F45*G45,2)</f>
        <v>0</v>
      </c>
      <c r="I45" s="62"/>
      <c r="J45" s="62"/>
      <c r="K45" s="48">
        <f t="shared" si="0"/>
        <v>0</v>
      </c>
      <c r="L45" s="49">
        <f t="shared" si="1"/>
        <v>0</v>
      </c>
      <c r="M45" s="47">
        <f t="shared" si="2"/>
        <v>0</v>
      </c>
      <c r="N45" s="47">
        <f t="shared" si="3"/>
        <v>0</v>
      </c>
      <c r="O45" s="47">
        <f t="shared" si="4"/>
        <v>0</v>
      </c>
      <c r="P45" s="48">
        <f t="shared" si="5"/>
        <v>0</v>
      </c>
    </row>
    <row r="46" spans="1:16" x14ac:dyDescent="0.2">
      <c r="A46" s="38">
        <v>25</v>
      </c>
      <c r="B46" s="39"/>
      <c r="C46" s="97" t="s">
        <v>117</v>
      </c>
      <c r="D46" s="25" t="s">
        <v>75</v>
      </c>
      <c r="E46" s="98">
        <f>E45/4</f>
        <v>3.8</v>
      </c>
      <c r="F46" s="65"/>
      <c r="G46" s="62"/>
      <c r="H46" s="47"/>
      <c r="I46" s="62"/>
      <c r="J46" s="62"/>
      <c r="K46" s="48">
        <f t="shared" si="0"/>
        <v>0</v>
      </c>
      <c r="L46" s="49">
        <f t="shared" si="1"/>
        <v>0</v>
      </c>
      <c r="M46" s="47">
        <f t="shared" si="2"/>
        <v>0</v>
      </c>
      <c r="N46" s="47">
        <f t="shared" si="3"/>
        <v>0</v>
      </c>
      <c r="O46" s="47">
        <f t="shared" si="4"/>
        <v>0</v>
      </c>
      <c r="P46" s="48">
        <f t="shared" si="5"/>
        <v>0</v>
      </c>
    </row>
    <row r="47" spans="1:16" x14ac:dyDescent="0.2">
      <c r="A47" s="38">
        <v>26</v>
      </c>
      <c r="B47" s="39"/>
      <c r="C47" s="97" t="s">
        <v>118</v>
      </c>
      <c r="D47" s="25" t="s">
        <v>75</v>
      </c>
      <c r="E47" s="98">
        <f>E45/3</f>
        <v>5.07</v>
      </c>
      <c r="F47" s="65"/>
      <c r="G47" s="62"/>
      <c r="H47" s="47"/>
      <c r="I47" s="62"/>
      <c r="J47" s="62"/>
      <c r="K47" s="48">
        <f t="shared" si="0"/>
        <v>0</v>
      </c>
      <c r="L47" s="49">
        <f t="shared" si="1"/>
        <v>0</v>
      </c>
      <c r="M47" s="47">
        <f t="shared" si="2"/>
        <v>0</v>
      </c>
      <c r="N47" s="47">
        <f t="shared" si="3"/>
        <v>0</v>
      </c>
      <c r="O47" s="47">
        <f t="shared" si="4"/>
        <v>0</v>
      </c>
      <c r="P47" s="48">
        <f t="shared" si="5"/>
        <v>0</v>
      </c>
    </row>
    <row r="48" spans="1:16" x14ac:dyDescent="0.2">
      <c r="A48" s="38">
        <v>27</v>
      </c>
      <c r="B48" s="39"/>
      <c r="C48" s="93" t="s">
        <v>119</v>
      </c>
      <c r="D48" s="25" t="s">
        <v>82</v>
      </c>
      <c r="E48" s="98">
        <v>100.2</v>
      </c>
      <c r="F48" s="65"/>
      <c r="G48" s="62"/>
      <c r="H48" s="47">
        <f t="shared" ref="H48" si="15">ROUND(F48*G48,2)</f>
        <v>0</v>
      </c>
      <c r="I48" s="62"/>
      <c r="J48" s="62"/>
      <c r="K48" s="48">
        <f t="shared" si="0"/>
        <v>0</v>
      </c>
      <c r="L48" s="49">
        <f t="shared" si="1"/>
        <v>0</v>
      </c>
      <c r="M48" s="47">
        <f t="shared" si="2"/>
        <v>0</v>
      </c>
      <c r="N48" s="47">
        <f t="shared" si="3"/>
        <v>0</v>
      </c>
      <c r="O48" s="47">
        <f t="shared" si="4"/>
        <v>0</v>
      </c>
      <c r="P48" s="48">
        <f t="shared" si="5"/>
        <v>0</v>
      </c>
    </row>
    <row r="49" spans="1:16" x14ac:dyDescent="0.2">
      <c r="A49" s="94">
        <v>3</v>
      </c>
      <c r="B49" s="95"/>
      <c r="C49" s="96" t="s">
        <v>120</v>
      </c>
      <c r="D49" s="25"/>
      <c r="E49" s="98"/>
      <c r="F49" s="65"/>
      <c r="G49" s="62"/>
      <c r="H49" s="47"/>
      <c r="I49" s="62"/>
      <c r="J49" s="62"/>
      <c r="K49" s="48">
        <f t="shared" si="0"/>
        <v>0</v>
      </c>
      <c r="L49" s="49">
        <f t="shared" si="1"/>
        <v>0</v>
      </c>
      <c r="M49" s="47">
        <f t="shared" si="2"/>
        <v>0</v>
      </c>
      <c r="N49" s="47">
        <f t="shared" si="3"/>
        <v>0</v>
      </c>
      <c r="O49" s="47">
        <f t="shared" si="4"/>
        <v>0</v>
      </c>
      <c r="P49" s="48">
        <f t="shared" si="5"/>
        <v>0</v>
      </c>
    </row>
    <row r="50" spans="1:16" x14ac:dyDescent="0.2">
      <c r="A50" s="38">
        <v>1</v>
      </c>
      <c r="B50" s="39"/>
      <c r="C50" s="93" t="s">
        <v>121</v>
      </c>
      <c r="D50" s="25" t="s">
        <v>104</v>
      </c>
      <c r="E50" s="98">
        <f>64.1*3*0.1*0.1</f>
        <v>1.92</v>
      </c>
      <c r="F50" s="65"/>
      <c r="G50" s="62"/>
      <c r="H50" s="47">
        <f t="shared" ref="H50" si="16">ROUND(F50*G50,2)</f>
        <v>0</v>
      </c>
      <c r="I50" s="62"/>
      <c r="J50" s="62"/>
      <c r="K50" s="48">
        <f t="shared" si="0"/>
        <v>0</v>
      </c>
      <c r="L50" s="49">
        <f t="shared" si="1"/>
        <v>0</v>
      </c>
      <c r="M50" s="47">
        <f t="shared" si="2"/>
        <v>0</v>
      </c>
      <c r="N50" s="47">
        <f t="shared" si="3"/>
        <v>0</v>
      </c>
      <c r="O50" s="47">
        <f t="shared" si="4"/>
        <v>0</v>
      </c>
      <c r="P50" s="48">
        <f t="shared" si="5"/>
        <v>0</v>
      </c>
    </row>
    <row r="51" spans="1:16" ht="22.5" x14ac:dyDescent="0.2">
      <c r="A51" s="38">
        <v>2</v>
      </c>
      <c r="B51" s="39"/>
      <c r="C51" s="97" t="s">
        <v>122</v>
      </c>
      <c r="D51" s="25" t="s">
        <v>104</v>
      </c>
      <c r="E51" s="98">
        <f>E50*1.1</f>
        <v>2.11</v>
      </c>
      <c r="F51" s="65"/>
      <c r="G51" s="62"/>
      <c r="H51" s="47"/>
      <c r="I51" s="62"/>
      <c r="J51" s="62"/>
      <c r="K51" s="48">
        <f t="shared" si="0"/>
        <v>0</v>
      </c>
      <c r="L51" s="49">
        <f t="shared" si="1"/>
        <v>0</v>
      </c>
      <c r="M51" s="47">
        <f t="shared" si="2"/>
        <v>0</v>
      </c>
      <c r="N51" s="47">
        <f t="shared" si="3"/>
        <v>0</v>
      </c>
      <c r="O51" s="47">
        <f t="shared" si="4"/>
        <v>0</v>
      </c>
      <c r="P51" s="48">
        <f t="shared" si="5"/>
        <v>0</v>
      </c>
    </row>
    <row r="52" spans="1:16" x14ac:dyDescent="0.2">
      <c r="A52" s="38">
        <v>3</v>
      </c>
      <c r="B52" s="39"/>
      <c r="C52" s="97" t="s">
        <v>84</v>
      </c>
      <c r="D52" s="25" t="s">
        <v>85</v>
      </c>
      <c r="E52" s="98">
        <v>1</v>
      </c>
      <c r="F52" s="65"/>
      <c r="G52" s="62"/>
      <c r="H52" s="47"/>
      <c r="I52" s="62"/>
      <c r="J52" s="62"/>
      <c r="K52" s="48">
        <f t="shared" si="0"/>
        <v>0</v>
      </c>
      <c r="L52" s="49">
        <f t="shared" si="1"/>
        <v>0</v>
      </c>
      <c r="M52" s="47">
        <f t="shared" si="2"/>
        <v>0</v>
      </c>
      <c r="N52" s="47">
        <f t="shared" si="3"/>
        <v>0</v>
      </c>
      <c r="O52" s="47">
        <f t="shared" si="4"/>
        <v>0</v>
      </c>
      <c r="P52" s="48">
        <f t="shared" si="5"/>
        <v>0</v>
      </c>
    </row>
    <row r="53" spans="1:16" x14ac:dyDescent="0.2">
      <c r="A53" s="38">
        <v>4</v>
      </c>
      <c r="B53" s="39"/>
      <c r="C53" s="93" t="s">
        <v>100</v>
      </c>
      <c r="D53" s="25" t="s">
        <v>60</v>
      </c>
      <c r="E53" s="98">
        <f>E16</f>
        <v>64.099999999999994</v>
      </c>
      <c r="F53" s="65"/>
      <c r="G53" s="62"/>
      <c r="H53" s="47">
        <f t="shared" ref="H53" si="17">ROUND(F53*G53,2)</f>
        <v>0</v>
      </c>
      <c r="I53" s="62"/>
      <c r="J53" s="62"/>
      <c r="K53" s="48">
        <f t="shared" si="0"/>
        <v>0</v>
      </c>
      <c r="L53" s="49">
        <f t="shared" si="1"/>
        <v>0</v>
      </c>
      <c r="M53" s="47">
        <f t="shared" si="2"/>
        <v>0</v>
      </c>
      <c r="N53" s="47">
        <f t="shared" si="3"/>
        <v>0</v>
      </c>
      <c r="O53" s="47">
        <f t="shared" si="4"/>
        <v>0</v>
      </c>
      <c r="P53" s="48">
        <f t="shared" si="5"/>
        <v>0</v>
      </c>
    </row>
    <row r="54" spans="1:16" ht="22.5" x14ac:dyDescent="0.2">
      <c r="A54" s="38">
        <v>5</v>
      </c>
      <c r="B54" s="39"/>
      <c r="C54" s="97" t="s">
        <v>101</v>
      </c>
      <c r="D54" s="25" t="s">
        <v>60</v>
      </c>
      <c r="E54" s="98">
        <f>E53*1.25</f>
        <v>80.13</v>
      </c>
      <c r="F54" s="65"/>
      <c r="G54" s="62"/>
      <c r="H54" s="47"/>
      <c r="I54" s="62"/>
      <c r="J54" s="62"/>
      <c r="K54" s="48">
        <f t="shared" si="0"/>
        <v>0</v>
      </c>
      <c r="L54" s="49">
        <f t="shared" si="1"/>
        <v>0</v>
      </c>
      <c r="M54" s="47">
        <f t="shared" si="2"/>
        <v>0</v>
      </c>
      <c r="N54" s="47">
        <f t="shared" si="3"/>
        <v>0</v>
      </c>
      <c r="O54" s="47">
        <f t="shared" si="4"/>
        <v>0</v>
      </c>
      <c r="P54" s="48">
        <f t="shared" si="5"/>
        <v>0</v>
      </c>
    </row>
    <row r="55" spans="1:16" x14ac:dyDescent="0.2">
      <c r="A55" s="38">
        <v>6</v>
      </c>
      <c r="B55" s="39"/>
      <c r="C55" s="97" t="s">
        <v>102</v>
      </c>
      <c r="D55" s="25" t="s">
        <v>68</v>
      </c>
      <c r="E55" s="98">
        <v>1</v>
      </c>
      <c r="F55" s="65"/>
      <c r="G55" s="62"/>
      <c r="H55" s="47"/>
      <c r="I55" s="62"/>
      <c r="J55" s="62"/>
      <c r="K55" s="48">
        <f t="shared" si="0"/>
        <v>0</v>
      </c>
      <c r="L55" s="49">
        <f t="shared" si="1"/>
        <v>0</v>
      </c>
      <c r="M55" s="47">
        <f t="shared" si="2"/>
        <v>0</v>
      </c>
      <c r="N55" s="47">
        <f t="shared" si="3"/>
        <v>0</v>
      </c>
      <c r="O55" s="47">
        <f t="shared" si="4"/>
        <v>0</v>
      </c>
      <c r="P55" s="48">
        <f t="shared" si="5"/>
        <v>0</v>
      </c>
    </row>
    <row r="56" spans="1:16" ht="22.5" x14ac:dyDescent="0.2">
      <c r="A56" s="38">
        <v>7</v>
      </c>
      <c r="B56" s="39"/>
      <c r="C56" s="93" t="s">
        <v>103</v>
      </c>
      <c r="D56" s="25" t="s">
        <v>104</v>
      </c>
      <c r="E56" s="98">
        <f>64.1/1.2*0.025*0.05</f>
        <v>7.0000000000000007E-2</v>
      </c>
      <c r="F56" s="65"/>
      <c r="G56" s="62"/>
      <c r="H56" s="47">
        <f t="shared" ref="H56" si="18">ROUND(F56*G56,2)</f>
        <v>0</v>
      </c>
      <c r="I56" s="62"/>
      <c r="J56" s="62"/>
      <c r="K56" s="48">
        <f t="shared" si="0"/>
        <v>0</v>
      </c>
      <c r="L56" s="49">
        <f t="shared" si="1"/>
        <v>0</v>
      </c>
      <c r="M56" s="47">
        <f t="shared" si="2"/>
        <v>0</v>
      </c>
      <c r="N56" s="47">
        <f t="shared" si="3"/>
        <v>0</v>
      </c>
      <c r="O56" s="47">
        <f t="shared" si="4"/>
        <v>0</v>
      </c>
      <c r="P56" s="48">
        <f t="shared" si="5"/>
        <v>0</v>
      </c>
    </row>
    <row r="57" spans="1:16" x14ac:dyDescent="0.2">
      <c r="A57" s="38">
        <v>8</v>
      </c>
      <c r="B57" s="39"/>
      <c r="C57" s="97" t="s">
        <v>105</v>
      </c>
      <c r="D57" s="25" t="s">
        <v>104</v>
      </c>
      <c r="E57" s="98">
        <f>E56*1.1</f>
        <v>0.08</v>
      </c>
      <c r="F57" s="65"/>
      <c r="G57" s="62"/>
      <c r="H57" s="47"/>
      <c r="I57" s="62"/>
      <c r="J57" s="62"/>
      <c r="K57" s="48">
        <f t="shared" si="0"/>
        <v>0</v>
      </c>
      <c r="L57" s="49">
        <f t="shared" si="1"/>
        <v>0</v>
      </c>
      <c r="M57" s="47">
        <f t="shared" si="2"/>
        <v>0</v>
      </c>
      <c r="N57" s="47">
        <f t="shared" si="3"/>
        <v>0</v>
      </c>
      <c r="O57" s="47">
        <f t="shared" si="4"/>
        <v>0</v>
      </c>
      <c r="P57" s="48">
        <f t="shared" si="5"/>
        <v>0</v>
      </c>
    </row>
    <row r="58" spans="1:16" x14ac:dyDescent="0.2">
      <c r="A58" s="38">
        <v>9</v>
      </c>
      <c r="B58" s="39"/>
      <c r="C58" s="97" t="s">
        <v>84</v>
      </c>
      <c r="D58" s="25" t="s">
        <v>85</v>
      </c>
      <c r="E58" s="98">
        <v>1</v>
      </c>
      <c r="F58" s="65"/>
      <c r="G58" s="62"/>
      <c r="H58" s="47"/>
      <c r="I58" s="62"/>
      <c r="J58" s="62"/>
      <c r="K58" s="48">
        <f t="shared" si="0"/>
        <v>0</v>
      </c>
      <c r="L58" s="49">
        <f t="shared" si="1"/>
        <v>0</v>
      </c>
      <c r="M58" s="47">
        <f t="shared" si="2"/>
        <v>0</v>
      </c>
      <c r="N58" s="47">
        <f t="shared" si="3"/>
        <v>0</v>
      </c>
      <c r="O58" s="47">
        <f t="shared" si="4"/>
        <v>0</v>
      </c>
      <c r="P58" s="48">
        <f t="shared" si="5"/>
        <v>0</v>
      </c>
    </row>
    <row r="59" spans="1:16" x14ac:dyDescent="0.2">
      <c r="A59" s="38">
        <v>10</v>
      </c>
      <c r="B59" s="39"/>
      <c r="C59" s="93" t="s">
        <v>106</v>
      </c>
      <c r="D59" s="25" t="s">
        <v>104</v>
      </c>
      <c r="E59" s="98">
        <f>64.1/0.35*0.032*0.1</f>
        <v>0.59</v>
      </c>
      <c r="F59" s="65"/>
      <c r="G59" s="62"/>
      <c r="H59" s="47">
        <f t="shared" ref="H59" si="19">ROUND(F59*G59,2)</f>
        <v>0</v>
      </c>
      <c r="I59" s="62"/>
      <c r="J59" s="62"/>
      <c r="K59" s="48">
        <f t="shared" si="0"/>
        <v>0</v>
      </c>
      <c r="L59" s="49">
        <f t="shared" si="1"/>
        <v>0</v>
      </c>
      <c r="M59" s="47">
        <f t="shared" si="2"/>
        <v>0</v>
      </c>
      <c r="N59" s="47">
        <f t="shared" si="3"/>
        <v>0</v>
      </c>
      <c r="O59" s="47">
        <f t="shared" si="4"/>
        <v>0</v>
      </c>
      <c r="P59" s="48">
        <f t="shared" si="5"/>
        <v>0</v>
      </c>
    </row>
    <row r="60" spans="1:16" ht="22.5" x14ac:dyDescent="0.2">
      <c r="A60" s="38">
        <v>11</v>
      </c>
      <c r="B60" s="39"/>
      <c r="C60" s="97" t="s">
        <v>107</v>
      </c>
      <c r="D60" s="25" t="s">
        <v>104</v>
      </c>
      <c r="E60" s="98">
        <f>E59*1.1</f>
        <v>0.65</v>
      </c>
      <c r="F60" s="65"/>
      <c r="G60" s="62"/>
      <c r="H60" s="47"/>
      <c r="I60" s="62"/>
      <c r="J60" s="62"/>
      <c r="K60" s="48">
        <f t="shared" si="0"/>
        <v>0</v>
      </c>
      <c r="L60" s="49">
        <f t="shared" si="1"/>
        <v>0</v>
      </c>
      <c r="M60" s="47">
        <f t="shared" si="2"/>
        <v>0</v>
      </c>
      <c r="N60" s="47">
        <f t="shared" si="3"/>
        <v>0</v>
      </c>
      <c r="O60" s="47">
        <f t="shared" si="4"/>
        <v>0</v>
      </c>
      <c r="P60" s="48">
        <f t="shared" si="5"/>
        <v>0</v>
      </c>
    </row>
    <row r="61" spans="1:16" x14ac:dyDescent="0.2">
      <c r="A61" s="38">
        <v>12</v>
      </c>
      <c r="B61" s="39"/>
      <c r="C61" s="97" t="s">
        <v>84</v>
      </c>
      <c r="D61" s="25" t="s">
        <v>85</v>
      </c>
      <c r="E61" s="98">
        <v>1</v>
      </c>
      <c r="F61" s="65"/>
      <c r="G61" s="62"/>
      <c r="H61" s="47"/>
      <c r="I61" s="62"/>
      <c r="J61" s="62"/>
      <c r="K61" s="48">
        <f t="shared" si="0"/>
        <v>0</v>
      </c>
      <c r="L61" s="49">
        <f t="shared" si="1"/>
        <v>0</v>
      </c>
      <c r="M61" s="47">
        <f t="shared" si="2"/>
        <v>0</v>
      </c>
      <c r="N61" s="47">
        <f t="shared" si="3"/>
        <v>0</v>
      </c>
      <c r="O61" s="47">
        <f t="shared" si="4"/>
        <v>0</v>
      </c>
      <c r="P61" s="48">
        <f t="shared" si="5"/>
        <v>0</v>
      </c>
    </row>
    <row r="62" spans="1:16" ht="33.75" x14ac:dyDescent="0.2">
      <c r="A62" s="38">
        <v>13</v>
      </c>
      <c r="B62" s="39"/>
      <c r="C62" s="93" t="s">
        <v>108</v>
      </c>
      <c r="D62" s="25" t="s">
        <v>60</v>
      </c>
      <c r="E62" s="98">
        <f>E53</f>
        <v>64.099999999999994</v>
      </c>
      <c r="F62" s="65"/>
      <c r="G62" s="62"/>
      <c r="H62" s="47">
        <f t="shared" ref="H62" si="20">ROUND(F62*G62,2)</f>
        <v>0</v>
      </c>
      <c r="I62" s="62"/>
      <c r="J62" s="62"/>
      <c r="K62" s="48">
        <f t="shared" si="0"/>
        <v>0</v>
      </c>
      <c r="L62" s="49">
        <f t="shared" si="1"/>
        <v>0</v>
      </c>
      <c r="M62" s="47">
        <f t="shared" si="2"/>
        <v>0</v>
      </c>
      <c r="N62" s="47">
        <f t="shared" si="3"/>
        <v>0</v>
      </c>
      <c r="O62" s="47">
        <f t="shared" si="4"/>
        <v>0</v>
      </c>
      <c r="P62" s="48">
        <f t="shared" si="5"/>
        <v>0</v>
      </c>
    </row>
    <row r="63" spans="1:16" ht="22.5" x14ac:dyDescent="0.2">
      <c r="A63" s="38">
        <v>14</v>
      </c>
      <c r="B63" s="39"/>
      <c r="C63" s="97" t="s">
        <v>109</v>
      </c>
      <c r="D63" s="25" t="s">
        <v>60</v>
      </c>
      <c r="E63" s="98">
        <f>E62*1.25</f>
        <v>80.13</v>
      </c>
      <c r="F63" s="65"/>
      <c r="G63" s="62"/>
      <c r="H63" s="47"/>
      <c r="I63" s="62"/>
      <c r="J63" s="62"/>
      <c r="K63" s="48">
        <f t="shared" si="0"/>
        <v>0</v>
      </c>
      <c r="L63" s="49">
        <f t="shared" si="1"/>
        <v>0</v>
      </c>
      <c r="M63" s="47">
        <f t="shared" si="2"/>
        <v>0</v>
      </c>
      <c r="N63" s="47">
        <f t="shared" si="3"/>
        <v>0</v>
      </c>
      <c r="O63" s="47">
        <f t="shared" si="4"/>
        <v>0</v>
      </c>
      <c r="P63" s="48">
        <f t="shared" si="5"/>
        <v>0</v>
      </c>
    </row>
    <row r="64" spans="1:16" x14ac:dyDescent="0.2">
      <c r="A64" s="38">
        <v>15</v>
      </c>
      <c r="B64" s="39"/>
      <c r="C64" s="97" t="s">
        <v>84</v>
      </c>
      <c r="D64" s="25" t="s">
        <v>85</v>
      </c>
      <c r="E64" s="98">
        <v>1</v>
      </c>
      <c r="F64" s="65"/>
      <c r="G64" s="62"/>
      <c r="H64" s="47"/>
      <c r="I64" s="62"/>
      <c r="J64" s="62"/>
      <c r="K64" s="48">
        <f t="shared" si="0"/>
        <v>0</v>
      </c>
      <c r="L64" s="49">
        <f t="shared" si="1"/>
        <v>0</v>
      </c>
      <c r="M64" s="47">
        <f t="shared" si="2"/>
        <v>0</v>
      </c>
      <c r="N64" s="47">
        <f t="shared" si="3"/>
        <v>0</v>
      </c>
      <c r="O64" s="47">
        <f t="shared" si="4"/>
        <v>0</v>
      </c>
      <c r="P64" s="48">
        <f t="shared" si="5"/>
        <v>0</v>
      </c>
    </row>
    <row r="65" spans="1:25" x14ac:dyDescent="0.2">
      <c r="A65" s="38">
        <v>16</v>
      </c>
      <c r="B65" s="39"/>
      <c r="C65" s="93" t="s">
        <v>81</v>
      </c>
      <c r="D65" s="25" t="s">
        <v>82</v>
      </c>
      <c r="E65" s="98">
        <v>130</v>
      </c>
      <c r="F65" s="65"/>
      <c r="G65" s="62"/>
      <c r="H65" s="47">
        <f t="shared" ref="H65" si="21">ROUND(F65*G65,2)</f>
        <v>0</v>
      </c>
      <c r="I65" s="62"/>
      <c r="J65" s="62"/>
      <c r="K65" s="48">
        <f t="shared" si="0"/>
        <v>0</v>
      </c>
      <c r="L65" s="49">
        <f t="shared" si="1"/>
        <v>0</v>
      </c>
      <c r="M65" s="47">
        <f t="shared" si="2"/>
        <v>0</v>
      </c>
      <c r="N65" s="47">
        <f t="shared" si="3"/>
        <v>0</v>
      </c>
      <c r="O65" s="47">
        <f t="shared" si="4"/>
        <v>0</v>
      </c>
      <c r="P65" s="48">
        <f t="shared" si="5"/>
        <v>0</v>
      </c>
    </row>
    <row r="66" spans="1:25" x14ac:dyDescent="0.2">
      <c r="A66" s="38">
        <v>17</v>
      </c>
      <c r="B66" s="39"/>
      <c r="C66" s="97" t="s">
        <v>83</v>
      </c>
      <c r="D66" s="25" t="s">
        <v>82</v>
      </c>
      <c r="E66" s="98">
        <f>E65*1.15</f>
        <v>149.5</v>
      </c>
      <c r="F66" s="65"/>
      <c r="G66" s="62"/>
      <c r="H66" s="47"/>
      <c r="I66" s="62"/>
      <c r="J66" s="62"/>
      <c r="K66" s="48">
        <f t="shared" si="0"/>
        <v>0</v>
      </c>
      <c r="L66" s="49">
        <f t="shared" si="1"/>
        <v>0</v>
      </c>
      <c r="M66" s="47">
        <f t="shared" si="2"/>
        <v>0</v>
      </c>
      <c r="N66" s="47">
        <f t="shared" si="3"/>
        <v>0</v>
      </c>
      <c r="O66" s="47">
        <f t="shared" si="4"/>
        <v>0</v>
      </c>
      <c r="P66" s="48">
        <f t="shared" si="5"/>
        <v>0</v>
      </c>
    </row>
    <row r="67" spans="1:25" x14ac:dyDescent="0.2">
      <c r="A67" s="38">
        <v>18</v>
      </c>
      <c r="B67" s="39"/>
      <c r="C67" s="97" t="s">
        <v>111</v>
      </c>
      <c r="D67" s="25" t="s">
        <v>68</v>
      </c>
      <c r="E67" s="98">
        <v>1</v>
      </c>
      <c r="F67" s="65"/>
      <c r="G67" s="62"/>
      <c r="H67" s="47"/>
      <c r="I67" s="62"/>
      <c r="J67" s="62"/>
      <c r="K67" s="48">
        <f t="shared" si="0"/>
        <v>0</v>
      </c>
      <c r="L67" s="49">
        <f t="shared" si="1"/>
        <v>0</v>
      </c>
      <c r="M67" s="47">
        <f t="shared" si="2"/>
        <v>0</v>
      </c>
      <c r="N67" s="47">
        <f t="shared" si="3"/>
        <v>0</v>
      </c>
      <c r="O67" s="47">
        <f t="shared" si="4"/>
        <v>0</v>
      </c>
      <c r="P67" s="48">
        <f t="shared" si="5"/>
        <v>0</v>
      </c>
    </row>
    <row r="68" spans="1:25" x14ac:dyDescent="0.2">
      <c r="A68" s="38">
        <v>19</v>
      </c>
      <c r="B68" s="39"/>
      <c r="C68" s="93" t="s">
        <v>112</v>
      </c>
      <c r="D68" s="25" t="s">
        <v>104</v>
      </c>
      <c r="E68" s="98">
        <f>66/0.5*0.3*0.05*0.05*2</f>
        <v>0.2</v>
      </c>
      <c r="F68" s="65"/>
      <c r="G68" s="62"/>
      <c r="H68" s="47">
        <f t="shared" ref="H68" si="22">ROUND(F68*G68,2)</f>
        <v>0</v>
      </c>
      <c r="I68" s="62"/>
      <c r="J68" s="62"/>
      <c r="K68" s="48">
        <f t="shared" si="0"/>
        <v>0</v>
      </c>
      <c r="L68" s="49">
        <f t="shared" si="1"/>
        <v>0</v>
      </c>
      <c r="M68" s="47">
        <f t="shared" si="2"/>
        <v>0</v>
      </c>
      <c r="N68" s="47">
        <f t="shared" si="3"/>
        <v>0</v>
      </c>
      <c r="O68" s="47">
        <f t="shared" si="4"/>
        <v>0</v>
      </c>
      <c r="P68" s="48">
        <f t="shared" si="5"/>
        <v>0</v>
      </c>
    </row>
    <row r="69" spans="1:25" x14ac:dyDescent="0.2">
      <c r="A69" s="38">
        <v>20</v>
      </c>
      <c r="B69" s="39"/>
      <c r="C69" s="97" t="s">
        <v>113</v>
      </c>
      <c r="D69" s="25" t="s">
        <v>104</v>
      </c>
      <c r="E69" s="98">
        <f>E68*1.15</f>
        <v>0.23</v>
      </c>
      <c r="F69" s="65"/>
      <c r="G69" s="62"/>
      <c r="H69" s="47"/>
      <c r="I69" s="62"/>
      <c r="J69" s="62"/>
      <c r="K69" s="48">
        <f t="shared" si="0"/>
        <v>0</v>
      </c>
      <c r="L69" s="49">
        <f t="shared" si="1"/>
        <v>0</v>
      </c>
      <c r="M69" s="47">
        <f t="shared" si="2"/>
        <v>0</v>
      </c>
      <c r="N69" s="47">
        <f t="shared" si="3"/>
        <v>0</v>
      </c>
      <c r="O69" s="47">
        <f t="shared" si="4"/>
        <v>0</v>
      </c>
      <c r="P69" s="48">
        <f t="shared" si="5"/>
        <v>0</v>
      </c>
    </row>
    <row r="70" spans="1:25" x14ac:dyDescent="0.2">
      <c r="A70" s="38">
        <v>21</v>
      </c>
      <c r="B70" s="39"/>
      <c r="C70" s="97" t="s">
        <v>111</v>
      </c>
      <c r="D70" s="25" t="s">
        <v>68</v>
      </c>
      <c r="E70" s="98">
        <v>1</v>
      </c>
      <c r="F70" s="65"/>
      <c r="G70" s="62"/>
      <c r="H70" s="47"/>
      <c r="I70" s="62"/>
      <c r="J70" s="62"/>
      <c r="K70" s="48">
        <f t="shared" si="0"/>
        <v>0</v>
      </c>
      <c r="L70" s="49">
        <f t="shared" si="1"/>
        <v>0</v>
      </c>
      <c r="M70" s="47">
        <f t="shared" si="2"/>
        <v>0</v>
      </c>
      <c r="N70" s="47">
        <f t="shared" si="3"/>
        <v>0</v>
      </c>
      <c r="O70" s="47">
        <f t="shared" si="4"/>
        <v>0</v>
      </c>
      <c r="P70" s="48">
        <f t="shared" si="5"/>
        <v>0</v>
      </c>
    </row>
    <row r="71" spans="1:25" ht="22.5" x14ac:dyDescent="0.2">
      <c r="A71" s="38">
        <v>22</v>
      </c>
      <c r="B71" s="39"/>
      <c r="C71" s="93" t="s">
        <v>114</v>
      </c>
      <c r="D71" s="25" t="s">
        <v>60</v>
      </c>
      <c r="E71" s="98">
        <f>66*0.2</f>
        <v>13.2</v>
      </c>
      <c r="F71" s="65"/>
      <c r="G71" s="62"/>
      <c r="H71" s="47">
        <f t="shared" ref="H71" si="23">ROUND(F71*G71,2)</f>
        <v>0</v>
      </c>
      <c r="I71" s="62"/>
      <c r="J71" s="62"/>
      <c r="K71" s="48">
        <f t="shared" si="0"/>
        <v>0</v>
      </c>
      <c r="L71" s="49">
        <f t="shared" si="1"/>
        <v>0</v>
      </c>
      <c r="M71" s="47">
        <f t="shared" si="2"/>
        <v>0</v>
      </c>
      <c r="N71" s="47">
        <f t="shared" si="3"/>
        <v>0</v>
      </c>
      <c r="O71" s="47">
        <f t="shared" si="4"/>
        <v>0</v>
      </c>
      <c r="P71" s="48">
        <f t="shared" si="5"/>
        <v>0</v>
      </c>
    </row>
    <row r="72" spans="1:25" x14ac:dyDescent="0.2">
      <c r="A72" s="38">
        <v>23</v>
      </c>
      <c r="B72" s="39"/>
      <c r="C72" s="97" t="s">
        <v>115</v>
      </c>
      <c r="D72" s="25" t="s">
        <v>60</v>
      </c>
      <c r="E72" s="98">
        <f>E71*1.15</f>
        <v>15.18</v>
      </c>
      <c r="F72" s="65"/>
      <c r="G72" s="62"/>
      <c r="H72" s="47"/>
      <c r="I72" s="62"/>
      <c r="J72" s="62"/>
      <c r="K72" s="48">
        <f t="shared" si="0"/>
        <v>0</v>
      </c>
      <c r="L72" s="49">
        <f t="shared" si="1"/>
        <v>0</v>
      </c>
      <c r="M72" s="47">
        <f t="shared" si="2"/>
        <v>0</v>
      </c>
      <c r="N72" s="47">
        <f t="shared" si="3"/>
        <v>0</v>
      </c>
      <c r="O72" s="47">
        <f t="shared" si="4"/>
        <v>0</v>
      </c>
      <c r="P72" s="48">
        <f t="shared" si="5"/>
        <v>0</v>
      </c>
    </row>
    <row r="73" spans="1:25" x14ac:dyDescent="0.2">
      <c r="A73" s="38">
        <v>24</v>
      </c>
      <c r="B73" s="39"/>
      <c r="C73" s="97" t="s">
        <v>111</v>
      </c>
      <c r="D73" s="25" t="s">
        <v>68</v>
      </c>
      <c r="E73" s="98">
        <v>1</v>
      </c>
      <c r="F73" s="65"/>
      <c r="G73" s="62"/>
      <c r="H73" s="47"/>
      <c r="I73" s="62"/>
      <c r="J73" s="62"/>
      <c r="K73" s="48">
        <f t="shared" si="0"/>
        <v>0</v>
      </c>
      <c r="L73" s="49">
        <f t="shared" si="1"/>
        <v>0</v>
      </c>
      <c r="M73" s="47">
        <f t="shared" si="2"/>
        <v>0</v>
      </c>
      <c r="N73" s="47">
        <f t="shared" si="3"/>
        <v>0</v>
      </c>
      <c r="O73" s="47">
        <f t="shared" si="4"/>
        <v>0</v>
      </c>
      <c r="P73" s="48">
        <f t="shared" si="5"/>
        <v>0</v>
      </c>
    </row>
    <row r="74" spans="1:25" x14ac:dyDescent="0.2">
      <c r="A74" s="38">
        <v>25</v>
      </c>
      <c r="B74" s="39"/>
      <c r="C74" s="93" t="s">
        <v>116</v>
      </c>
      <c r="D74" s="25" t="s">
        <v>60</v>
      </c>
      <c r="E74" s="98">
        <f>E71</f>
        <v>13.2</v>
      </c>
      <c r="F74" s="65"/>
      <c r="G74" s="62"/>
      <c r="H74" s="47">
        <f t="shared" ref="H74" si="24">ROUND(F74*G74,2)</f>
        <v>0</v>
      </c>
      <c r="I74" s="62"/>
      <c r="J74" s="62"/>
      <c r="K74" s="48">
        <f t="shared" si="0"/>
        <v>0</v>
      </c>
      <c r="L74" s="49">
        <f t="shared" si="1"/>
        <v>0</v>
      </c>
      <c r="M74" s="47">
        <f t="shared" si="2"/>
        <v>0</v>
      </c>
      <c r="N74" s="47">
        <f t="shared" si="3"/>
        <v>0</v>
      </c>
      <c r="O74" s="47">
        <f t="shared" si="4"/>
        <v>0</v>
      </c>
      <c r="P74" s="48">
        <f t="shared" si="5"/>
        <v>0</v>
      </c>
    </row>
    <row r="75" spans="1:25" x14ac:dyDescent="0.2">
      <c r="A75" s="38">
        <v>26</v>
      </c>
      <c r="B75" s="39"/>
      <c r="C75" s="97" t="s">
        <v>117</v>
      </c>
      <c r="D75" s="25" t="s">
        <v>75</v>
      </c>
      <c r="E75" s="98">
        <f>E74/4</f>
        <v>3.3</v>
      </c>
      <c r="F75" s="65"/>
      <c r="G75" s="62"/>
      <c r="H75" s="47"/>
      <c r="I75" s="62"/>
      <c r="J75" s="62"/>
      <c r="K75" s="48">
        <f t="shared" ref="K75:K107" si="25">SUM(H75:J75)</f>
        <v>0</v>
      </c>
      <c r="L75" s="49">
        <f t="shared" ref="L75:L107" si="26">ROUND(E75*F75,2)</f>
        <v>0</v>
      </c>
      <c r="M75" s="47">
        <f t="shared" ref="M75:M107" si="27">ROUND(H75*E75,2)</f>
        <v>0</v>
      </c>
      <c r="N75" s="47">
        <f t="shared" ref="N75:N107" si="28">ROUND(I75*E75,2)</f>
        <v>0</v>
      </c>
      <c r="O75" s="47">
        <f t="shared" ref="O75:O107" si="29">ROUND(J75*E75,2)</f>
        <v>0</v>
      </c>
      <c r="P75" s="48">
        <f t="shared" ref="P75:P107" si="30">SUM(M75:O75)</f>
        <v>0</v>
      </c>
    </row>
    <row r="76" spans="1:25" x14ac:dyDescent="0.2">
      <c r="A76" s="38">
        <v>27</v>
      </c>
      <c r="B76" s="39"/>
      <c r="C76" s="97" t="s">
        <v>118</v>
      </c>
      <c r="D76" s="25" t="s">
        <v>75</v>
      </c>
      <c r="E76" s="98">
        <f>E74/3</f>
        <v>4.4000000000000004</v>
      </c>
      <c r="F76" s="65"/>
      <c r="G76" s="62"/>
      <c r="H76" s="47"/>
      <c r="I76" s="62"/>
      <c r="J76" s="62"/>
      <c r="K76" s="48">
        <f t="shared" si="25"/>
        <v>0</v>
      </c>
      <c r="L76" s="49">
        <f t="shared" si="26"/>
        <v>0</v>
      </c>
      <c r="M76" s="47">
        <f t="shared" si="27"/>
        <v>0</v>
      </c>
      <c r="N76" s="47">
        <f t="shared" si="28"/>
        <v>0</v>
      </c>
      <c r="O76" s="47">
        <f t="shared" si="29"/>
        <v>0</v>
      </c>
      <c r="P76" s="48">
        <f t="shared" si="30"/>
        <v>0</v>
      </c>
    </row>
    <row r="77" spans="1:25" x14ac:dyDescent="0.2">
      <c r="A77" s="94">
        <v>4</v>
      </c>
      <c r="B77" s="95"/>
      <c r="C77" s="96" t="s">
        <v>123</v>
      </c>
      <c r="D77" s="25"/>
      <c r="E77" s="98"/>
      <c r="F77" s="65"/>
      <c r="G77" s="62"/>
      <c r="H77" s="47"/>
      <c r="I77" s="62"/>
      <c r="J77" s="62"/>
      <c r="K77" s="48">
        <f t="shared" si="25"/>
        <v>0</v>
      </c>
      <c r="L77" s="49">
        <f t="shared" si="26"/>
        <v>0</v>
      </c>
      <c r="M77" s="47">
        <f t="shared" si="27"/>
        <v>0</v>
      </c>
      <c r="N77" s="47">
        <f t="shared" si="28"/>
        <v>0</v>
      </c>
      <c r="O77" s="47">
        <f t="shared" si="29"/>
        <v>0</v>
      </c>
      <c r="P77" s="48">
        <f t="shared" si="30"/>
        <v>0</v>
      </c>
    </row>
    <row r="78" spans="1:25" ht="31.5" customHeight="1" x14ac:dyDescent="0.2">
      <c r="A78" s="38">
        <v>1</v>
      </c>
      <c r="B78" s="39"/>
      <c r="C78" s="93" t="s">
        <v>124</v>
      </c>
      <c r="D78" s="25" t="s">
        <v>82</v>
      </c>
      <c r="E78" s="98">
        <v>157</v>
      </c>
      <c r="F78" s="65"/>
      <c r="G78" s="62"/>
      <c r="H78" s="47">
        <f t="shared" ref="H78" si="31">ROUND(F78*G78,2)</f>
        <v>0</v>
      </c>
      <c r="I78" s="62"/>
      <c r="J78" s="62"/>
      <c r="K78" s="48">
        <f t="shared" si="25"/>
        <v>0</v>
      </c>
      <c r="L78" s="49">
        <f t="shared" si="26"/>
        <v>0</v>
      </c>
      <c r="M78" s="47">
        <f t="shared" si="27"/>
        <v>0</v>
      </c>
      <c r="N78" s="47">
        <f t="shared" si="28"/>
        <v>0</v>
      </c>
      <c r="O78" s="47">
        <f t="shared" si="29"/>
        <v>0</v>
      </c>
      <c r="P78" s="48">
        <f t="shared" si="30"/>
        <v>0</v>
      </c>
      <c r="Q78" s="103"/>
      <c r="R78" s="105"/>
      <c r="S78" s="174"/>
      <c r="T78" s="174"/>
      <c r="U78" s="174"/>
      <c r="V78" s="174"/>
      <c r="X78" s="104"/>
      <c r="Y78" s="105"/>
    </row>
    <row r="79" spans="1:25" ht="22.5" x14ac:dyDescent="0.2">
      <c r="A79" s="38">
        <v>2</v>
      </c>
      <c r="B79" s="39"/>
      <c r="C79" s="97" t="s">
        <v>125</v>
      </c>
      <c r="D79" s="25" t="s">
        <v>82</v>
      </c>
      <c r="E79" s="98">
        <f>E78*1.15</f>
        <v>180.55</v>
      </c>
      <c r="F79" s="65"/>
      <c r="G79" s="62"/>
      <c r="H79" s="47"/>
      <c r="I79" s="62"/>
      <c r="J79" s="62"/>
      <c r="K79" s="48">
        <f t="shared" si="25"/>
        <v>0</v>
      </c>
      <c r="L79" s="49">
        <f t="shared" si="26"/>
        <v>0</v>
      </c>
      <c r="M79" s="47">
        <f t="shared" si="27"/>
        <v>0</v>
      </c>
      <c r="N79" s="47">
        <f t="shared" si="28"/>
        <v>0</v>
      </c>
      <c r="O79" s="47">
        <f t="shared" si="29"/>
        <v>0</v>
      </c>
      <c r="P79" s="48">
        <f t="shared" si="30"/>
        <v>0</v>
      </c>
      <c r="Q79" s="104"/>
      <c r="R79" s="105"/>
      <c r="X79" s="104"/>
      <c r="Y79" s="105"/>
    </row>
    <row r="80" spans="1:25" x14ac:dyDescent="0.2">
      <c r="A80" s="38">
        <v>3</v>
      </c>
      <c r="B80" s="39"/>
      <c r="C80" s="97" t="s">
        <v>111</v>
      </c>
      <c r="D80" s="25" t="s">
        <v>68</v>
      </c>
      <c r="E80" s="98">
        <v>1</v>
      </c>
      <c r="F80" s="65"/>
      <c r="G80" s="62"/>
      <c r="H80" s="47"/>
      <c r="I80" s="62"/>
      <c r="J80" s="62"/>
      <c r="K80" s="48">
        <f t="shared" si="25"/>
        <v>0</v>
      </c>
      <c r="L80" s="49">
        <f t="shared" si="26"/>
        <v>0</v>
      </c>
      <c r="M80" s="47">
        <f t="shared" si="27"/>
        <v>0</v>
      </c>
      <c r="N80" s="47">
        <f t="shared" si="28"/>
        <v>0</v>
      </c>
      <c r="O80" s="47">
        <f t="shared" si="29"/>
        <v>0</v>
      </c>
      <c r="P80" s="48">
        <f t="shared" si="30"/>
        <v>0</v>
      </c>
    </row>
    <row r="81" spans="1:19" x14ac:dyDescent="0.2">
      <c r="A81" s="38">
        <v>4</v>
      </c>
      <c r="B81" s="39"/>
      <c r="C81" s="93" t="s">
        <v>126</v>
      </c>
      <c r="D81" s="25" t="s">
        <v>82</v>
      </c>
      <c r="E81" s="98">
        <v>148.80000000000001</v>
      </c>
      <c r="F81" s="65"/>
      <c r="G81" s="62"/>
      <c r="H81" s="47">
        <f t="shared" ref="H81" si="32">ROUND(F81*G81,2)</f>
        <v>0</v>
      </c>
      <c r="I81" s="62"/>
      <c r="J81" s="62"/>
      <c r="K81" s="48">
        <f t="shared" si="25"/>
        <v>0</v>
      </c>
      <c r="L81" s="49">
        <f t="shared" si="26"/>
        <v>0</v>
      </c>
      <c r="M81" s="47">
        <f t="shared" si="27"/>
        <v>0</v>
      </c>
      <c r="N81" s="47">
        <f t="shared" si="28"/>
        <v>0</v>
      </c>
      <c r="O81" s="47">
        <f t="shared" si="29"/>
        <v>0</v>
      </c>
      <c r="P81" s="48">
        <f t="shared" si="30"/>
        <v>0</v>
      </c>
      <c r="R81" s="21"/>
    </row>
    <row r="82" spans="1:19" ht="22.5" x14ac:dyDescent="0.2">
      <c r="A82" s="38">
        <v>5</v>
      </c>
      <c r="B82" s="39"/>
      <c r="C82" s="97" t="s">
        <v>127</v>
      </c>
      <c r="D82" s="25" t="s">
        <v>82</v>
      </c>
      <c r="E82" s="98">
        <f>E81*1.15</f>
        <v>171.12</v>
      </c>
      <c r="F82" s="65"/>
      <c r="G82" s="62"/>
      <c r="H82" s="47"/>
      <c r="I82" s="62"/>
      <c r="J82" s="62"/>
      <c r="K82" s="48">
        <f t="shared" si="25"/>
        <v>0</v>
      </c>
      <c r="L82" s="49">
        <f t="shared" si="26"/>
        <v>0</v>
      </c>
      <c r="M82" s="47">
        <f t="shared" si="27"/>
        <v>0</v>
      </c>
      <c r="N82" s="47">
        <f t="shared" si="28"/>
        <v>0</v>
      </c>
      <c r="O82" s="47">
        <f t="shared" si="29"/>
        <v>0</v>
      </c>
      <c r="P82" s="48">
        <f t="shared" si="30"/>
        <v>0</v>
      </c>
    </row>
    <row r="83" spans="1:19" x14ac:dyDescent="0.2">
      <c r="A83" s="38">
        <v>6</v>
      </c>
      <c r="B83" s="39"/>
      <c r="C83" s="97" t="s">
        <v>111</v>
      </c>
      <c r="D83" s="25" t="s">
        <v>68</v>
      </c>
      <c r="E83" s="98">
        <v>1</v>
      </c>
      <c r="F83" s="65"/>
      <c r="G83" s="62"/>
      <c r="H83" s="47"/>
      <c r="I83" s="62"/>
      <c r="J83" s="62"/>
      <c r="K83" s="48">
        <f t="shared" si="25"/>
        <v>0</v>
      </c>
      <c r="L83" s="49">
        <f t="shared" si="26"/>
        <v>0</v>
      </c>
      <c r="M83" s="47">
        <f t="shared" si="27"/>
        <v>0</v>
      </c>
      <c r="N83" s="47">
        <f t="shared" si="28"/>
        <v>0</v>
      </c>
      <c r="O83" s="47">
        <f t="shared" si="29"/>
        <v>0</v>
      </c>
      <c r="P83" s="48">
        <f t="shared" si="30"/>
        <v>0</v>
      </c>
    </row>
    <row r="84" spans="1:19" x14ac:dyDescent="0.2">
      <c r="A84" s="94">
        <v>5</v>
      </c>
      <c r="B84" s="95"/>
      <c r="C84" s="96" t="s">
        <v>128</v>
      </c>
      <c r="D84" s="25"/>
      <c r="E84" s="98"/>
      <c r="F84" s="65"/>
      <c r="G84" s="62"/>
      <c r="H84" s="47"/>
      <c r="I84" s="62"/>
      <c r="J84" s="62"/>
      <c r="K84" s="48">
        <f t="shared" si="25"/>
        <v>0</v>
      </c>
      <c r="L84" s="49">
        <f t="shared" si="26"/>
        <v>0</v>
      </c>
      <c r="M84" s="47">
        <f t="shared" si="27"/>
        <v>0</v>
      </c>
      <c r="N84" s="47">
        <f t="shared" si="28"/>
        <v>0</v>
      </c>
      <c r="O84" s="47">
        <f t="shared" si="29"/>
        <v>0</v>
      </c>
      <c r="P84" s="48">
        <f t="shared" si="30"/>
        <v>0</v>
      </c>
    </row>
    <row r="85" spans="1:19" x14ac:dyDescent="0.2">
      <c r="A85" s="38">
        <v>1</v>
      </c>
      <c r="B85" s="39"/>
      <c r="C85" s="93" t="s">
        <v>129</v>
      </c>
      <c r="D85" s="25" t="s">
        <v>60</v>
      </c>
      <c r="E85" s="98">
        <f>E18</f>
        <v>444</v>
      </c>
      <c r="F85" s="65"/>
      <c r="G85" s="62"/>
      <c r="H85" s="47">
        <f>ROUND(F85*G85,2)</f>
        <v>0</v>
      </c>
      <c r="I85" s="62"/>
      <c r="J85" s="62"/>
      <c r="K85" s="48">
        <f t="shared" si="25"/>
        <v>0</v>
      </c>
      <c r="L85" s="49">
        <f t="shared" si="26"/>
        <v>0</v>
      </c>
      <c r="M85" s="47">
        <f t="shared" si="27"/>
        <v>0</v>
      </c>
      <c r="N85" s="47">
        <f t="shared" si="28"/>
        <v>0</v>
      </c>
      <c r="O85" s="47">
        <f t="shared" si="29"/>
        <v>0</v>
      </c>
      <c r="P85" s="48">
        <f t="shared" si="30"/>
        <v>0</v>
      </c>
      <c r="Q85" s="103"/>
      <c r="R85" s="105"/>
    </row>
    <row r="86" spans="1:19" x14ac:dyDescent="0.2">
      <c r="A86" s="38">
        <v>2</v>
      </c>
      <c r="B86" s="39"/>
      <c r="C86" s="97" t="s">
        <v>130</v>
      </c>
      <c r="D86" s="25" t="s">
        <v>60</v>
      </c>
      <c r="E86" s="98">
        <f>E85*1.25</f>
        <v>555</v>
      </c>
      <c r="F86" s="65"/>
      <c r="G86" s="62"/>
      <c r="H86" s="47"/>
      <c r="I86" s="62"/>
      <c r="J86" s="62"/>
      <c r="K86" s="48">
        <f t="shared" si="25"/>
        <v>0</v>
      </c>
      <c r="L86" s="49">
        <f t="shared" si="26"/>
        <v>0</v>
      </c>
      <c r="M86" s="47">
        <f t="shared" si="27"/>
        <v>0</v>
      </c>
      <c r="N86" s="47">
        <f t="shared" si="28"/>
        <v>0</v>
      </c>
      <c r="O86" s="47">
        <f t="shared" si="29"/>
        <v>0</v>
      </c>
      <c r="P86" s="48">
        <f t="shared" si="30"/>
        <v>0</v>
      </c>
      <c r="Q86" s="104"/>
      <c r="R86" s="105"/>
    </row>
    <row r="87" spans="1:19" x14ac:dyDescent="0.2">
      <c r="A87" s="38">
        <v>3</v>
      </c>
      <c r="B87" s="39"/>
      <c r="C87" s="93" t="s">
        <v>131</v>
      </c>
      <c r="D87" s="25" t="s">
        <v>104</v>
      </c>
      <c r="E87" s="98">
        <f>(59.7*3)*0.07*0.07+(59.7*3)*0.08*0.25</f>
        <v>4.46</v>
      </c>
      <c r="F87" s="65"/>
      <c r="G87" s="62"/>
      <c r="H87" s="47">
        <f t="shared" ref="H87" si="33">ROUND(F87*G87,2)</f>
        <v>0</v>
      </c>
      <c r="I87" s="62"/>
      <c r="J87" s="62"/>
      <c r="K87" s="48">
        <f t="shared" si="25"/>
        <v>0</v>
      </c>
      <c r="L87" s="49">
        <f t="shared" si="26"/>
        <v>0</v>
      </c>
      <c r="M87" s="47">
        <f t="shared" si="27"/>
        <v>0</v>
      </c>
      <c r="N87" s="47">
        <f t="shared" si="28"/>
        <v>0</v>
      </c>
      <c r="O87" s="47">
        <f t="shared" si="29"/>
        <v>0</v>
      </c>
      <c r="P87" s="48">
        <f t="shared" si="30"/>
        <v>0</v>
      </c>
    </row>
    <row r="88" spans="1:19" x14ac:dyDescent="0.2">
      <c r="A88" s="38">
        <v>4</v>
      </c>
      <c r="B88" s="39"/>
      <c r="C88" s="97" t="s">
        <v>132</v>
      </c>
      <c r="D88" s="25" t="s">
        <v>104</v>
      </c>
      <c r="E88" s="98">
        <f>E87*1.1</f>
        <v>4.91</v>
      </c>
      <c r="F88" s="65"/>
      <c r="G88" s="62"/>
      <c r="H88" s="47"/>
      <c r="I88" s="62"/>
      <c r="J88" s="62"/>
      <c r="K88" s="48">
        <f t="shared" si="25"/>
        <v>0</v>
      </c>
      <c r="L88" s="49">
        <f t="shared" si="26"/>
        <v>0</v>
      </c>
      <c r="M88" s="47">
        <f t="shared" si="27"/>
        <v>0</v>
      </c>
      <c r="N88" s="47">
        <f t="shared" si="28"/>
        <v>0</v>
      </c>
      <c r="O88" s="47">
        <f t="shared" si="29"/>
        <v>0</v>
      </c>
      <c r="P88" s="48">
        <f t="shared" si="30"/>
        <v>0</v>
      </c>
    </row>
    <row r="89" spans="1:19" x14ac:dyDescent="0.2">
      <c r="A89" s="38">
        <v>5</v>
      </c>
      <c r="B89" s="39"/>
      <c r="C89" s="97" t="s">
        <v>133</v>
      </c>
      <c r="D89" s="25" t="s">
        <v>85</v>
      </c>
      <c r="E89" s="98">
        <v>1</v>
      </c>
      <c r="F89" s="65"/>
      <c r="G89" s="62"/>
      <c r="H89" s="47"/>
      <c r="I89" s="62"/>
      <c r="J89" s="62"/>
      <c r="K89" s="48">
        <f t="shared" si="25"/>
        <v>0</v>
      </c>
      <c r="L89" s="49">
        <f t="shared" si="26"/>
        <v>0</v>
      </c>
      <c r="M89" s="47">
        <f t="shared" si="27"/>
        <v>0</v>
      </c>
      <c r="N89" s="47">
        <f t="shared" si="28"/>
        <v>0</v>
      </c>
      <c r="O89" s="47">
        <f t="shared" si="29"/>
        <v>0</v>
      </c>
      <c r="P89" s="48">
        <f t="shared" si="30"/>
        <v>0</v>
      </c>
    </row>
    <row r="90" spans="1:19" ht="22.5" x14ac:dyDescent="0.2">
      <c r="A90" s="175">
        <v>6</v>
      </c>
      <c r="B90" s="176"/>
      <c r="C90" s="180" t="s">
        <v>134</v>
      </c>
      <c r="D90" s="178" t="s">
        <v>104</v>
      </c>
      <c r="E90" s="179">
        <v>133.19999999999999</v>
      </c>
      <c r="F90" s="65"/>
      <c r="G90" s="62"/>
      <c r="H90" s="47">
        <f t="shared" ref="H90" si="34">ROUND(F90*G90,2)</f>
        <v>0</v>
      </c>
      <c r="I90" s="62"/>
      <c r="J90" s="62"/>
      <c r="K90" s="48">
        <f t="shared" si="25"/>
        <v>0</v>
      </c>
      <c r="L90" s="49">
        <f t="shared" si="26"/>
        <v>0</v>
      </c>
      <c r="M90" s="47">
        <f t="shared" si="27"/>
        <v>0</v>
      </c>
      <c r="N90" s="47">
        <f t="shared" si="28"/>
        <v>0</v>
      </c>
      <c r="O90" s="47">
        <f t="shared" si="29"/>
        <v>0</v>
      </c>
      <c r="P90" s="48">
        <f t="shared" si="30"/>
        <v>0</v>
      </c>
      <c r="Q90" s="103"/>
      <c r="R90" s="105"/>
    </row>
    <row r="91" spans="1:19" ht="22.5" x14ac:dyDescent="0.2">
      <c r="A91" s="175">
        <v>7</v>
      </c>
      <c r="B91" s="176"/>
      <c r="C91" s="177" t="s">
        <v>135</v>
      </c>
      <c r="D91" s="178" t="s">
        <v>104</v>
      </c>
      <c r="E91" s="179">
        <f>E90*1.15</f>
        <v>153.18</v>
      </c>
      <c r="F91" s="65"/>
      <c r="G91" s="62"/>
      <c r="H91" s="47"/>
      <c r="I91" s="62"/>
      <c r="J91" s="62"/>
      <c r="K91" s="48">
        <f t="shared" si="25"/>
        <v>0</v>
      </c>
      <c r="L91" s="49">
        <f t="shared" si="26"/>
        <v>0</v>
      </c>
      <c r="M91" s="47">
        <f t="shared" si="27"/>
        <v>0</v>
      </c>
      <c r="N91" s="47">
        <f t="shared" si="28"/>
        <v>0</v>
      </c>
      <c r="O91" s="47">
        <f t="shared" si="29"/>
        <v>0</v>
      </c>
      <c r="P91" s="48">
        <f t="shared" si="30"/>
        <v>0</v>
      </c>
      <c r="Q91" s="103"/>
      <c r="R91" s="105"/>
    </row>
    <row r="92" spans="1:19" ht="22.5" x14ac:dyDescent="0.2">
      <c r="A92" s="181">
        <v>8</v>
      </c>
      <c r="B92" s="182"/>
      <c r="C92" s="185" t="s">
        <v>136</v>
      </c>
      <c r="D92" s="183" t="s">
        <v>60</v>
      </c>
      <c r="E92" s="184">
        <f>20.4*3</f>
        <v>61.2</v>
      </c>
      <c r="F92" s="65"/>
      <c r="G92" s="62"/>
      <c r="H92" s="47">
        <f>ROUND(F92*G92,2)</f>
        <v>0</v>
      </c>
      <c r="I92" s="62"/>
      <c r="J92" s="62"/>
      <c r="K92" s="48">
        <f t="shared" si="25"/>
        <v>0</v>
      </c>
      <c r="L92" s="49">
        <f t="shared" si="26"/>
        <v>0</v>
      </c>
      <c r="M92" s="47">
        <f t="shared" si="27"/>
        <v>0</v>
      </c>
      <c r="N92" s="47">
        <f t="shared" si="28"/>
        <v>0</v>
      </c>
      <c r="O92" s="47">
        <f t="shared" si="29"/>
        <v>0</v>
      </c>
      <c r="P92" s="48">
        <f t="shared" si="30"/>
        <v>0</v>
      </c>
    </row>
    <row r="93" spans="1:19" x14ac:dyDescent="0.2">
      <c r="A93" s="38">
        <v>9</v>
      </c>
      <c r="B93" s="39"/>
      <c r="C93" s="97" t="s">
        <v>137</v>
      </c>
      <c r="D93" s="25" t="s">
        <v>104</v>
      </c>
      <c r="E93" s="98">
        <f>E92*0.03*1.1</f>
        <v>2.02</v>
      </c>
      <c r="F93" s="65"/>
      <c r="G93" s="62"/>
      <c r="H93" s="47"/>
      <c r="I93" s="62"/>
      <c r="J93" s="62"/>
      <c r="K93" s="48">
        <f t="shared" si="25"/>
        <v>0</v>
      </c>
      <c r="L93" s="49">
        <f t="shared" si="26"/>
        <v>0</v>
      </c>
      <c r="M93" s="47">
        <f t="shared" si="27"/>
        <v>0</v>
      </c>
      <c r="N93" s="47">
        <f t="shared" si="28"/>
        <v>0</v>
      </c>
      <c r="O93" s="47">
        <f t="shared" si="29"/>
        <v>0</v>
      </c>
      <c r="P93" s="48">
        <f t="shared" si="30"/>
        <v>0</v>
      </c>
    </row>
    <row r="94" spans="1:19" x14ac:dyDescent="0.2">
      <c r="A94" s="38">
        <v>10</v>
      </c>
      <c r="B94" s="39"/>
      <c r="C94" s="97" t="s">
        <v>133</v>
      </c>
      <c r="D94" s="25" t="s">
        <v>85</v>
      </c>
      <c r="E94" s="98">
        <v>1</v>
      </c>
      <c r="F94" s="65"/>
      <c r="G94" s="62"/>
      <c r="H94" s="47"/>
      <c r="I94" s="62"/>
      <c r="J94" s="62"/>
      <c r="K94" s="48">
        <f t="shared" si="25"/>
        <v>0</v>
      </c>
      <c r="L94" s="49">
        <f t="shared" si="26"/>
        <v>0</v>
      </c>
      <c r="M94" s="47">
        <f t="shared" si="27"/>
        <v>0</v>
      </c>
      <c r="N94" s="47">
        <f t="shared" si="28"/>
        <v>0</v>
      </c>
      <c r="O94" s="47">
        <f t="shared" si="29"/>
        <v>0</v>
      </c>
      <c r="P94" s="48">
        <f t="shared" si="30"/>
        <v>0</v>
      </c>
    </row>
    <row r="95" spans="1:19" ht="22.5" x14ac:dyDescent="0.2">
      <c r="A95" s="94">
        <v>6</v>
      </c>
      <c r="B95" s="95"/>
      <c r="C95" s="96" t="s">
        <v>138</v>
      </c>
      <c r="D95" s="25"/>
      <c r="E95" s="98"/>
      <c r="F95" s="65"/>
      <c r="G95" s="62"/>
      <c r="H95" s="47"/>
      <c r="I95" s="62"/>
      <c r="J95" s="62"/>
      <c r="K95" s="48">
        <f t="shared" si="25"/>
        <v>0</v>
      </c>
      <c r="L95" s="49">
        <f t="shared" si="26"/>
        <v>0</v>
      </c>
      <c r="M95" s="47">
        <f t="shared" si="27"/>
        <v>0</v>
      </c>
      <c r="N95" s="47">
        <f t="shared" si="28"/>
        <v>0</v>
      </c>
      <c r="O95" s="47">
        <f t="shared" si="29"/>
        <v>0</v>
      </c>
      <c r="P95" s="48">
        <f t="shared" si="30"/>
        <v>0</v>
      </c>
    </row>
    <row r="96" spans="1:19" ht="45" x14ac:dyDescent="0.2">
      <c r="A96" s="38">
        <v>1</v>
      </c>
      <c r="B96" s="39"/>
      <c r="C96" s="93" t="s">
        <v>139</v>
      </c>
      <c r="D96" s="25"/>
      <c r="E96" s="98">
        <f>14.8*3</f>
        <v>44.4</v>
      </c>
      <c r="F96" s="65"/>
      <c r="G96" s="62"/>
      <c r="H96" s="47">
        <f t="shared" ref="H96" si="35">ROUND(F96*G96,2)</f>
        <v>0</v>
      </c>
      <c r="I96" s="62"/>
      <c r="J96" s="62"/>
      <c r="K96" s="48">
        <f t="shared" si="25"/>
        <v>0</v>
      </c>
      <c r="L96" s="49">
        <f t="shared" si="26"/>
        <v>0</v>
      </c>
      <c r="M96" s="47">
        <f t="shared" si="27"/>
        <v>0</v>
      </c>
      <c r="N96" s="47">
        <f t="shared" si="28"/>
        <v>0</v>
      </c>
      <c r="O96" s="47">
        <f t="shared" si="29"/>
        <v>0</v>
      </c>
      <c r="P96" s="48">
        <f t="shared" si="30"/>
        <v>0</v>
      </c>
      <c r="Q96" s="103"/>
      <c r="R96" s="104"/>
      <c r="S96" s="105"/>
    </row>
    <row r="97" spans="1:19" ht="22.5" x14ac:dyDescent="0.2">
      <c r="A97" s="38">
        <v>2</v>
      </c>
      <c r="B97" s="39"/>
      <c r="C97" s="97" t="s">
        <v>140</v>
      </c>
      <c r="D97" s="25" t="s">
        <v>60</v>
      </c>
      <c r="E97" s="98">
        <f>E96*1.1</f>
        <v>48.84</v>
      </c>
      <c r="F97" s="65"/>
      <c r="G97" s="62"/>
      <c r="H97" s="47"/>
      <c r="I97" s="62"/>
      <c r="J97" s="62"/>
      <c r="K97" s="48">
        <f t="shared" si="25"/>
        <v>0</v>
      </c>
      <c r="L97" s="49">
        <f t="shared" si="26"/>
        <v>0</v>
      </c>
      <c r="M97" s="47">
        <f t="shared" si="27"/>
        <v>0</v>
      </c>
      <c r="N97" s="47">
        <f t="shared" si="28"/>
        <v>0</v>
      </c>
      <c r="O97" s="47">
        <f t="shared" si="29"/>
        <v>0</v>
      </c>
      <c r="P97" s="48">
        <f t="shared" si="30"/>
        <v>0</v>
      </c>
      <c r="Q97" s="103"/>
      <c r="R97" s="104"/>
      <c r="S97" s="105"/>
    </row>
    <row r="98" spans="1:19" x14ac:dyDescent="0.2">
      <c r="A98" s="38">
        <v>3</v>
      </c>
      <c r="B98" s="39"/>
      <c r="C98" s="97" t="s">
        <v>141</v>
      </c>
      <c r="D98" s="25" t="s">
        <v>66</v>
      </c>
      <c r="E98" s="98">
        <f>E96*6.5</f>
        <v>288.60000000000002</v>
      </c>
      <c r="F98" s="65"/>
      <c r="G98" s="62"/>
      <c r="H98" s="47"/>
      <c r="I98" s="62"/>
      <c r="J98" s="62"/>
      <c r="K98" s="48">
        <f t="shared" si="25"/>
        <v>0</v>
      </c>
      <c r="L98" s="49">
        <f t="shared" si="26"/>
        <v>0</v>
      </c>
      <c r="M98" s="47">
        <f t="shared" si="27"/>
        <v>0</v>
      </c>
      <c r="N98" s="47">
        <f t="shared" si="28"/>
        <v>0</v>
      </c>
      <c r="O98" s="47">
        <f t="shared" si="29"/>
        <v>0</v>
      </c>
      <c r="P98" s="48">
        <f t="shared" si="30"/>
        <v>0</v>
      </c>
    </row>
    <row r="99" spans="1:19" x14ac:dyDescent="0.2">
      <c r="A99" s="38">
        <v>4</v>
      </c>
      <c r="B99" s="39"/>
      <c r="C99" s="97" t="s">
        <v>142</v>
      </c>
      <c r="D99" s="25" t="s">
        <v>68</v>
      </c>
      <c r="E99" s="98">
        <v>1</v>
      </c>
      <c r="F99" s="65"/>
      <c r="G99" s="62"/>
      <c r="H99" s="47"/>
      <c r="I99" s="62"/>
      <c r="J99" s="62"/>
      <c r="K99" s="48">
        <f t="shared" si="25"/>
        <v>0</v>
      </c>
      <c r="L99" s="49">
        <f t="shared" si="26"/>
        <v>0</v>
      </c>
      <c r="M99" s="47">
        <f t="shared" si="27"/>
        <v>0</v>
      </c>
      <c r="N99" s="47">
        <f t="shared" si="28"/>
        <v>0</v>
      </c>
      <c r="O99" s="47">
        <f t="shared" si="29"/>
        <v>0</v>
      </c>
      <c r="P99" s="48">
        <f t="shared" si="30"/>
        <v>0</v>
      </c>
    </row>
    <row r="100" spans="1:19" ht="45" x14ac:dyDescent="0.2">
      <c r="A100" s="38">
        <v>5</v>
      </c>
      <c r="B100" s="39"/>
      <c r="C100" s="93" t="s">
        <v>143</v>
      </c>
      <c r="D100" s="25" t="s">
        <v>60</v>
      </c>
      <c r="E100" s="98">
        <f>(14.51*2)*3-5.13</f>
        <v>81.93</v>
      </c>
      <c r="F100" s="65"/>
      <c r="G100" s="62"/>
      <c r="H100" s="47">
        <f t="shared" ref="H100" si="36">ROUND(F100*G100,2)</f>
        <v>0</v>
      </c>
      <c r="I100" s="62"/>
      <c r="J100" s="62"/>
      <c r="K100" s="48">
        <f t="shared" si="25"/>
        <v>0</v>
      </c>
      <c r="L100" s="49">
        <f t="shared" si="26"/>
        <v>0</v>
      </c>
      <c r="M100" s="47">
        <f t="shared" si="27"/>
        <v>0</v>
      </c>
      <c r="N100" s="47">
        <f t="shared" si="28"/>
        <v>0</v>
      </c>
      <c r="O100" s="47">
        <f t="shared" si="29"/>
        <v>0</v>
      </c>
      <c r="P100" s="48">
        <f t="shared" si="30"/>
        <v>0</v>
      </c>
      <c r="Q100" s="104"/>
      <c r="R100" s="105"/>
      <c r="S100" s="104"/>
    </row>
    <row r="101" spans="1:19" ht="22.5" x14ac:dyDescent="0.2">
      <c r="A101" s="38">
        <v>6</v>
      </c>
      <c r="B101" s="39"/>
      <c r="C101" s="97" t="s">
        <v>144</v>
      </c>
      <c r="D101" s="25" t="s">
        <v>60</v>
      </c>
      <c r="E101" s="98">
        <f>E100*1.1</f>
        <v>90.12</v>
      </c>
      <c r="F101" s="65"/>
      <c r="G101" s="62"/>
      <c r="H101" s="47"/>
      <c r="I101" s="62"/>
      <c r="J101" s="62"/>
      <c r="K101" s="48">
        <f t="shared" si="25"/>
        <v>0</v>
      </c>
      <c r="L101" s="49">
        <f t="shared" si="26"/>
        <v>0</v>
      </c>
      <c r="M101" s="47">
        <f t="shared" si="27"/>
        <v>0</v>
      </c>
      <c r="N101" s="47">
        <f t="shared" si="28"/>
        <v>0</v>
      </c>
      <c r="O101" s="47">
        <f t="shared" si="29"/>
        <v>0</v>
      </c>
      <c r="P101" s="48">
        <f t="shared" si="30"/>
        <v>0</v>
      </c>
      <c r="Q101" s="104"/>
      <c r="R101" s="105"/>
      <c r="S101" s="104"/>
    </row>
    <row r="102" spans="1:19" x14ac:dyDescent="0.2">
      <c r="A102" s="38">
        <v>7</v>
      </c>
      <c r="B102" s="39"/>
      <c r="C102" s="97" t="s">
        <v>141</v>
      </c>
      <c r="D102" s="25" t="s">
        <v>66</v>
      </c>
      <c r="E102" s="98">
        <f>E100*6.5</f>
        <v>532.54999999999995</v>
      </c>
      <c r="F102" s="65"/>
      <c r="G102" s="62"/>
      <c r="H102" s="47"/>
      <c r="I102" s="62"/>
      <c r="J102" s="62"/>
      <c r="K102" s="48">
        <f t="shared" si="25"/>
        <v>0</v>
      </c>
      <c r="L102" s="49">
        <f t="shared" si="26"/>
        <v>0</v>
      </c>
      <c r="M102" s="47">
        <f t="shared" si="27"/>
        <v>0</v>
      </c>
      <c r="N102" s="47">
        <f t="shared" si="28"/>
        <v>0</v>
      </c>
      <c r="O102" s="47">
        <f t="shared" si="29"/>
        <v>0</v>
      </c>
      <c r="P102" s="48">
        <f t="shared" si="30"/>
        <v>0</v>
      </c>
    </row>
    <row r="103" spans="1:19" x14ac:dyDescent="0.2">
      <c r="A103" s="38">
        <v>8</v>
      </c>
      <c r="B103" s="39"/>
      <c r="C103" s="97" t="s">
        <v>145</v>
      </c>
      <c r="D103" s="25" t="s">
        <v>68</v>
      </c>
      <c r="E103" s="98">
        <v>1</v>
      </c>
      <c r="F103" s="65"/>
      <c r="G103" s="62"/>
      <c r="H103" s="47"/>
      <c r="I103" s="62"/>
      <c r="J103" s="62"/>
      <c r="K103" s="48">
        <f t="shared" si="25"/>
        <v>0</v>
      </c>
      <c r="L103" s="49">
        <f t="shared" si="26"/>
        <v>0</v>
      </c>
      <c r="M103" s="47">
        <f t="shared" si="27"/>
        <v>0</v>
      </c>
      <c r="N103" s="47">
        <f t="shared" si="28"/>
        <v>0</v>
      </c>
      <c r="O103" s="47">
        <f t="shared" si="29"/>
        <v>0</v>
      </c>
      <c r="P103" s="48">
        <f t="shared" si="30"/>
        <v>0</v>
      </c>
    </row>
    <row r="104" spans="1:19" x14ac:dyDescent="0.2">
      <c r="A104" s="38">
        <v>9</v>
      </c>
      <c r="B104" s="39"/>
      <c r="C104" s="93" t="s">
        <v>146</v>
      </c>
      <c r="D104" s="25" t="s">
        <v>60</v>
      </c>
      <c r="E104" s="98">
        <f>E96+E100</f>
        <v>126.33</v>
      </c>
      <c r="F104" s="65"/>
      <c r="G104" s="62"/>
      <c r="H104" s="47">
        <f t="shared" ref="H104" si="37">ROUND(F104*G104,2)</f>
        <v>0</v>
      </c>
      <c r="I104" s="62"/>
      <c r="J104" s="62"/>
      <c r="K104" s="48">
        <f t="shared" si="25"/>
        <v>0</v>
      </c>
      <c r="L104" s="49">
        <f t="shared" si="26"/>
        <v>0</v>
      </c>
      <c r="M104" s="47">
        <f t="shared" si="27"/>
        <v>0</v>
      </c>
      <c r="N104" s="47">
        <f t="shared" si="28"/>
        <v>0</v>
      </c>
      <c r="O104" s="47">
        <f t="shared" si="29"/>
        <v>0</v>
      </c>
      <c r="P104" s="48">
        <f t="shared" si="30"/>
        <v>0</v>
      </c>
    </row>
    <row r="105" spans="1:19" ht="22.5" x14ac:dyDescent="0.2">
      <c r="A105" s="38">
        <v>10</v>
      </c>
      <c r="B105" s="39"/>
      <c r="C105" s="97" t="s">
        <v>64</v>
      </c>
      <c r="D105" s="25" t="s">
        <v>60</v>
      </c>
      <c r="E105" s="98">
        <f>E104*1.25</f>
        <v>157.91</v>
      </c>
      <c r="F105" s="65"/>
      <c r="G105" s="62"/>
      <c r="H105" s="47"/>
      <c r="I105" s="62"/>
      <c r="J105" s="62"/>
      <c r="K105" s="48">
        <f t="shared" si="25"/>
        <v>0</v>
      </c>
      <c r="L105" s="49">
        <f t="shared" si="26"/>
        <v>0</v>
      </c>
      <c r="M105" s="47">
        <f t="shared" si="27"/>
        <v>0</v>
      </c>
      <c r="N105" s="47">
        <f t="shared" si="28"/>
        <v>0</v>
      </c>
      <c r="O105" s="47">
        <f t="shared" si="29"/>
        <v>0</v>
      </c>
      <c r="P105" s="48">
        <f t="shared" si="30"/>
        <v>0</v>
      </c>
    </row>
    <row r="106" spans="1:19" x14ac:dyDescent="0.2">
      <c r="A106" s="38">
        <v>11</v>
      </c>
      <c r="B106" s="39"/>
      <c r="C106" s="97" t="s">
        <v>147</v>
      </c>
      <c r="D106" s="25" t="s">
        <v>66</v>
      </c>
      <c r="E106" s="98">
        <f>E104*5</f>
        <v>631.65</v>
      </c>
      <c r="F106" s="65"/>
      <c r="G106" s="62"/>
      <c r="H106" s="47"/>
      <c r="I106" s="62"/>
      <c r="J106" s="62"/>
      <c r="K106" s="48">
        <f t="shared" si="25"/>
        <v>0</v>
      </c>
      <c r="L106" s="49">
        <f t="shared" si="26"/>
        <v>0</v>
      </c>
      <c r="M106" s="47">
        <f t="shared" si="27"/>
        <v>0</v>
      </c>
      <c r="N106" s="47">
        <f t="shared" si="28"/>
        <v>0</v>
      </c>
      <c r="O106" s="47">
        <f t="shared" si="29"/>
        <v>0</v>
      </c>
      <c r="P106" s="48">
        <f t="shared" si="30"/>
        <v>0</v>
      </c>
    </row>
    <row r="107" spans="1:19" ht="12" thickBot="1" x14ac:dyDescent="0.25">
      <c r="A107" s="38">
        <v>12</v>
      </c>
      <c r="B107" s="39"/>
      <c r="C107" s="97" t="s">
        <v>145</v>
      </c>
      <c r="D107" s="25" t="s">
        <v>68</v>
      </c>
      <c r="E107" s="98">
        <v>1</v>
      </c>
      <c r="F107" s="65"/>
      <c r="G107" s="62"/>
      <c r="H107" s="47"/>
      <c r="I107" s="62"/>
      <c r="J107" s="62"/>
      <c r="K107" s="48">
        <f t="shared" si="25"/>
        <v>0</v>
      </c>
      <c r="L107" s="49">
        <f t="shared" si="26"/>
        <v>0</v>
      </c>
      <c r="M107" s="47">
        <f t="shared" si="27"/>
        <v>0</v>
      </c>
      <c r="N107" s="47">
        <f t="shared" si="28"/>
        <v>0</v>
      </c>
      <c r="O107" s="47">
        <f t="shared" si="29"/>
        <v>0</v>
      </c>
      <c r="P107" s="48">
        <f t="shared" si="30"/>
        <v>0</v>
      </c>
    </row>
    <row r="108" spans="1:19" ht="12" customHeight="1" thickBot="1" x14ac:dyDescent="0.25">
      <c r="A108" s="156" t="s">
        <v>88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8"/>
      <c r="L108" s="66">
        <f>SUM(L14:L107)</f>
        <v>0</v>
      </c>
      <c r="M108" s="67">
        <f>SUM(M14:M107)</f>
        <v>0</v>
      </c>
      <c r="N108" s="67">
        <f>SUM(N14:N107)</f>
        <v>0</v>
      </c>
      <c r="O108" s="67">
        <f>SUM(O14:O107)</f>
        <v>0</v>
      </c>
      <c r="P108" s="68">
        <f>SUM(P14:P107)</f>
        <v>0</v>
      </c>
    </row>
    <row r="109" spans="1:19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9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9" ht="11.1" customHeight="1" x14ac:dyDescent="0.2">
      <c r="A111" s="1" t="s">
        <v>17</v>
      </c>
      <c r="B111" s="17"/>
      <c r="C111" s="107"/>
      <c r="D111" s="107"/>
      <c r="E111" s="107"/>
      <c r="F111" s="107"/>
      <c r="G111" s="107"/>
      <c r="H111" s="107"/>
      <c r="I111" s="17"/>
      <c r="J111" s="17"/>
      <c r="K111" s="17"/>
      <c r="L111" s="17"/>
      <c r="M111" s="17"/>
      <c r="N111" s="17"/>
      <c r="O111" s="17"/>
      <c r="P111" s="17"/>
    </row>
    <row r="112" spans="1:19" ht="11.1" customHeight="1" x14ac:dyDescent="0.2">
      <c r="A112" s="17"/>
      <c r="B112" s="17"/>
      <c r="C112" s="108" t="s">
        <v>18</v>
      </c>
      <c r="D112" s="108"/>
      <c r="E112" s="108"/>
      <c r="F112" s="108"/>
      <c r="G112" s="108"/>
      <c r="H112" s="108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" t="s">
        <v>19</v>
      </c>
      <c r="B115" s="17"/>
      <c r="C115" s="107"/>
      <c r="D115" s="107"/>
      <c r="E115" s="107"/>
      <c r="F115" s="107"/>
      <c r="G115" s="107"/>
      <c r="H115" s="107"/>
      <c r="I115" s="17"/>
      <c r="J115" s="17"/>
      <c r="K115" s="17"/>
      <c r="L115" s="17"/>
      <c r="M115" s="17"/>
      <c r="N115" s="17"/>
      <c r="O115" s="17"/>
      <c r="P115" s="17"/>
    </row>
    <row r="116" spans="1:16" ht="11.1" customHeight="1" x14ac:dyDescent="0.2">
      <c r="A116" s="17"/>
      <c r="B116" s="17"/>
      <c r="C116" s="108" t="s">
        <v>18</v>
      </c>
      <c r="D116" s="108"/>
      <c r="E116" s="108"/>
      <c r="F116" s="108"/>
      <c r="G116" s="108"/>
      <c r="H116" s="108"/>
      <c r="I116" s="17"/>
      <c r="J116" s="17"/>
      <c r="K116" s="17"/>
      <c r="L116" s="17"/>
      <c r="M116" s="17"/>
      <c r="N116" s="17"/>
      <c r="O116" s="17"/>
      <c r="P116" s="17"/>
    </row>
    <row r="117" spans="1:16" ht="11.1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85" t="s">
        <v>20</v>
      </c>
      <c r="B118" s="86"/>
      <c r="C118" s="90"/>
      <c r="D118" s="86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I119" s="17"/>
      <c r="J119" s="17"/>
      <c r="K119" s="17"/>
      <c r="L119" s="17"/>
      <c r="M119" s="17"/>
      <c r="N119" s="17"/>
      <c r="O119" s="17"/>
      <c r="P119" s="17"/>
    </row>
    <row r="120" spans="1:16" x14ac:dyDescent="0.2">
      <c r="I120" s="17"/>
      <c r="J120" s="17"/>
      <c r="K120" s="17"/>
      <c r="L120" s="17"/>
      <c r="M120" s="17"/>
      <c r="N120" s="17"/>
      <c r="O120" s="17"/>
      <c r="P120" s="17"/>
    </row>
  </sheetData>
  <mergeCells count="24">
    <mergeCell ref="S18:V18"/>
    <mergeCell ref="S78:V78"/>
    <mergeCell ref="C2:I2"/>
    <mergeCell ref="C3:I3"/>
    <mergeCell ref="D5:L5"/>
    <mergeCell ref="D6:L6"/>
    <mergeCell ref="D7:L7"/>
    <mergeCell ref="C4:I4"/>
    <mergeCell ref="D8:L8"/>
    <mergeCell ref="C111:H111"/>
    <mergeCell ref="C112:H112"/>
    <mergeCell ref="C116:H116"/>
    <mergeCell ref="C115:H115"/>
    <mergeCell ref="N9:O9"/>
    <mergeCell ref="C12:C13"/>
    <mergeCell ref="D12:D13"/>
    <mergeCell ref="E12:E13"/>
    <mergeCell ref="L12:P12"/>
    <mergeCell ref="A9:I9"/>
    <mergeCell ref="F12:K12"/>
    <mergeCell ref="J9:M9"/>
    <mergeCell ref="A108:K108"/>
    <mergeCell ref="A12:A13"/>
    <mergeCell ref="B12:B13"/>
  </mergeCells>
  <conditionalFormatting sqref="N9:O9 K14:P107">
    <cfRule type="cellIs" dxfId="168" priority="29" operator="equal">
      <formula>0</formula>
    </cfRule>
  </conditionalFormatting>
  <conditionalFormatting sqref="C2:I2">
    <cfRule type="cellIs" dxfId="167" priority="26" operator="equal">
      <formula>0</formula>
    </cfRule>
  </conditionalFormatting>
  <conditionalFormatting sqref="O10">
    <cfRule type="cellIs" dxfId="166" priority="25" operator="equal">
      <formula>"20__. gada __. _________"</formula>
    </cfRule>
  </conditionalFormatting>
  <conditionalFormatting sqref="L108:P108">
    <cfRule type="cellIs" dxfId="165" priority="19" operator="equal">
      <formula>0</formula>
    </cfRule>
  </conditionalFormatting>
  <conditionalFormatting sqref="C4:I4">
    <cfRule type="cellIs" dxfId="164" priority="18" operator="equal">
      <formula>0</formula>
    </cfRule>
  </conditionalFormatting>
  <conditionalFormatting sqref="D5:L8">
    <cfRule type="cellIs" dxfId="163" priority="16" operator="equal">
      <formula>0</formula>
    </cfRule>
  </conditionalFormatting>
  <conditionalFormatting sqref="P10">
    <cfRule type="cellIs" dxfId="162" priority="15" operator="equal">
      <formula>"20__. gada __. _________"</formula>
    </cfRule>
  </conditionalFormatting>
  <conditionalFormatting sqref="I14:J107 A14:G107">
    <cfRule type="cellIs" dxfId="161" priority="7" operator="equal">
      <formula>0</formula>
    </cfRule>
  </conditionalFormatting>
  <conditionalFormatting sqref="H14:H107">
    <cfRule type="cellIs" dxfId="160" priority="6" operator="equal">
      <formula>0</formula>
    </cfRule>
  </conditionalFormatting>
  <conditionalFormatting sqref="D1">
    <cfRule type="cellIs" dxfId="159" priority="9" operator="equal">
      <formula>0</formula>
    </cfRule>
  </conditionalFormatting>
  <conditionalFormatting sqref="A9">
    <cfRule type="containsText" dxfId="158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08:K108">
    <cfRule type="containsText" dxfId="157" priority="5" operator="containsText" text="Tiešās izmaksas kopā, t. sk. darba devēja sociālais nodoklis __.__% ">
      <formula>NOT(ISERROR(SEARCH("Tiešās izmaksas kopā, t. sk. darba devēja sociālais nodoklis __.__% ",A108)))</formula>
    </cfRule>
  </conditionalFormatting>
  <conditionalFormatting sqref="C115:H115">
    <cfRule type="cellIs" dxfId="156" priority="4" operator="equal">
      <formula>0</formula>
    </cfRule>
  </conditionalFormatting>
  <conditionalFormatting sqref="C111:H111">
    <cfRule type="cellIs" dxfId="155" priority="3" operator="equal">
      <formula>0</formula>
    </cfRule>
  </conditionalFormatting>
  <conditionalFormatting sqref="C118">
    <cfRule type="cellIs" dxfId="154" priority="1" operator="equal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B4F0210E-4B5C-6D46-A11D-481AE809A447}">
            <xm:f>NOT(ISERROR(SEARCH("Sertifikāta Nr. _________________________________",A118)))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V143"/>
  <sheetViews>
    <sheetView topLeftCell="A118" workbookViewId="0">
      <selection activeCell="E126" sqref="E126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9" width="6.7109375" style="1" customWidth="1"/>
    <col min="10" max="11" width="8.7109375" style="1" customWidth="1"/>
    <col min="12" max="15" width="7.7109375" style="1" customWidth="1"/>
    <col min="16" max="16" width="9" style="1" customWidth="1"/>
    <col min="17" max="17" width="14.85546875" style="1" customWidth="1"/>
    <col min="18" max="18" width="13.28515625" style="1" customWidth="1"/>
    <col min="19" max="19" width="9.140625" style="1"/>
    <col min="20" max="20" width="29.5703125" style="1" customWidth="1"/>
    <col min="21" max="16384" width="9.140625" style="1"/>
  </cols>
  <sheetData>
    <row r="1" spans="1:16" x14ac:dyDescent="0.2">
      <c r="A1" s="23"/>
      <c r="B1" s="23"/>
      <c r="C1" s="27" t="s">
        <v>42</v>
      </c>
      <c r="D1" s="50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148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1" t="s">
        <v>22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61"/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7</v>
      </c>
      <c r="D6" s="173" t="str">
        <f>'Kops a'!D7</f>
        <v>Daudzdzīvokļu dzīvojamās mājas, Dakteru ielā 24, Smiltenē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9</v>
      </c>
      <c r="D7" s="173" t="str">
        <f>'Kops a'!D8</f>
        <v>Dakteru iela 24, Smiltene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25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44</v>
      </c>
      <c r="B9" s="159"/>
      <c r="C9" s="159"/>
      <c r="D9" s="159"/>
      <c r="E9" s="159"/>
      <c r="F9" s="159"/>
      <c r="G9" s="159"/>
      <c r="H9" s="159"/>
      <c r="I9" s="159"/>
      <c r="J9" s="165" t="s">
        <v>45</v>
      </c>
      <c r="K9" s="165"/>
      <c r="L9" s="165"/>
      <c r="M9" s="165"/>
      <c r="N9" s="172">
        <f>P131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>
        <f>A137</f>
        <v>0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9" t="s">
        <v>28</v>
      </c>
      <c r="B12" s="167" t="s">
        <v>46</v>
      </c>
      <c r="C12" s="163" t="s">
        <v>47</v>
      </c>
      <c r="D12" s="170" t="s">
        <v>48</v>
      </c>
      <c r="E12" s="154" t="s">
        <v>49</v>
      </c>
      <c r="F12" s="162" t="s">
        <v>50</v>
      </c>
      <c r="G12" s="163"/>
      <c r="H12" s="163"/>
      <c r="I12" s="163"/>
      <c r="J12" s="163"/>
      <c r="K12" s="164"/>
      <c r="L12" s="162" t="s">
        <v>51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5"/>
      <c r="F13" s="36" t="s">
        <v>52</v>
      </c>
      <c r="G13" s="37" t="s">
        <v>53</v>
      </c>
      <c r="H13" s="37" t="s">
        <v>54</v>
      </c>
      <c r="I13" s="37" t="s">
        <v>55</v>
      </c>
      <c r="J13" s="37" t="s">
        <v>56</v>
      </c>
      <c r="K13" s="61" t="s">
        <v>57</v>
      </c>
      <c r="L13" s="36" t="s">
        <v>52</v>
      </c>
      <c r="M13" s="37" t="s">
        <v>54</v>
      </c>
      <c r="N13" s="37" t="s">
        <v>55</v>
      </c>
      <c r="O13" s="37" t="s">
        <v>56</v>
      </c>
      <c r="P13" s="61" t="s">
        <v>57</v>
      </c>
    </row>
    <row r="14" spans="1:16" x14ac:dyDescent="0.2">
      <c r="A14" s="94">
        <v>1</v>
      </c>
      <c r="B14" s="95"/>
      <c r="C14" s="96" t="s">
        <v>149</v>
      </c>
      <c r="D14" s="25"/>
      <c r="E14" s="98"/>
      <c r="F14" s="65"/>
      <c r="G14" s="62"/>
      <c r="H14" s="47"/>
      <c r="I14" s="62"/>
      <c r="J14" s="62"/>
      <c r="K14" s="63">
        <f>SUM(H14:J14)</f>
        <v>0</v>
      </c>
      <c r="L14" s="65">
        <f>ROUND(E14*F14,2)</f>
        <v>0</v>
      </c>
      <c r="M14" s="62">
        <f>ROUND(H14*E14,2)</f>
        <v>0</v>
      </c>
      <c r="N14" s="62">
        <f>ROUND(I14*E14,2)</f>
        <v>0</v>
      </c>
      <c r="O14" s="62">
        <f>ROUND(J14*E14,2)</f>
        <v>0</v>
      </c>
      <c r="P14" s="63">
        <f>SUM(M14:O14)</f>
        <v>0</v>
      </c>
    </row>
    <row r="15" spans="1:16" x14ac:dyDescent="0.2">
      <c r="A15" s="38">
        <v>1</v>
      </c>
      <c r="B15" s="39"/>
      <c r="C15" s="93" t="s">
        <v>150</v>
      </c>
      <c r="D15" s="25" t="s">
        <v>97</v>
      </c>
      <c r="E15" s="98">
        <v>1</v>
      </c>
      <c r="F15" s="65"/>
      <c r="G15" s="62"/>
      <c r="H15" s="47">
        <f t="shared" ref="H15:H22" si="0">ROUND(F15*G15,2)</f>
        <v>0</v>
      </c>
      <c r="I15" s="62"/>
      <c r="J15" s="62"/>
      <c r="K15" s="48">
        <f t="shared" ref="K15:K70" si="1">SUM(H15:J15)</f>
        <v>0</v>
      </c>
      <c r="L15" s="49">
        <f t="shared" ref="L15:L70" si="2">ROUND(E15*F15,2)</f>
        <v>0</v>
      </c>
      <c r="M15" s="47">
        <f t="shared" ref="M15:M70" si="3">ROUND(H15*E15,2)</f>
        <v>0</v>
      </c>
      <c r="N15" s="47">
        <f t="shared" ref="N15:N70" si="4">ROUND(I15*E15,2)</f>
        <v>0</v>
      </c>
      <c r="O15" s="47">
        <f t="shared" ref="O15:O70" si="5">ROUND(J15*E15,2)</f>
        <v>0</v>
      </c>
      <c r="P15" s="48">
        <f t="shared" ref="P15:P70" si="6">SUM(M15:O15)</f>
        <v>0</v>
      </c>
    </row>
    <row r="16" spans="1:16" ht="33.75" x14ac:dyDescent="0.2">
      <c r="A16" s="38">
        <v>2</v>
      </c>
      <c r="B16" s="39"/>
      <c r="C16" s="93" t="s">
        <v>151</v>
      </c>
      <c r="D16" s="25" t="s">
        <v>97</v>
      </c>
      <c r="E16" s="98">
        <v>1</v>
      </c>
      <c r="F16" s="65"/>
      <c r="G16" s="62"/>
      <c r="H16" s="47">
        <f t="shared" si="0"/>
        <v>0</v>
      </c>
      <c r="I16" s="62"/>
      <c r="J16" s="62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22" ht="14.25" x14ac:dyDescent="0.2">
      <c r="A17" s="38">
        <v>3</v>
      </c>
      <c r="B17" s="39"/>
      <c r="C17" s="93" t="s">
        <v>152</v>
      </c>
      <c r="D17" s="25" t="s">
        <v>60</v>
      </c>
      <c r="E17" s="98">
        <f>(172.42-2.72*3)*0.6</f>
        <v>98.56</v>
      </c>
      <c r="F17" s="65"/>
      <c r="G17" s="62"/>
      <c r="H17" s="47">
        <f t="shared" si="0"/>
        <v>0</v>
      </c>
      <c r="I17" s="62"/>
      <c r="J17" s="62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  <c r="Q17" s="103"/>
      <c r="R17" s="105"/>
      <c r="S17" s="174"/>
      <c r="T17" s="174"/>
      <c r="U17" s="174"/>
      <c r="V17" s="174"/>
    </row>
    <row r="18" spans="1:22" x14ac:dyDescent="0.2">
      <c r="A18" s="38">
        <v>4</v>
      </c>
      <c r="B18" s="39"/>
      <c r="C18" s="93" t="s">
        <v>153</v>
      </c>
      <c r="D18" s="25" t="s">
        <v>60</v>
      </c>
      <c r="E18" s="98">
        <f>E51+E72+E89</f>
        <v>2282.1</v>
      </c>
      <c r="F18" s="65"/>
      <c r="G18" s="62"/>
      <c r="H18" s="47">
        <f t="shared" si="0"/>
        <v>0</v>
      </c>
      <c r="I18" s="62"/>
      <c r="J18" s="62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22" ht="22.5" x14ac:dyDescent="0.2">
      <c r="A19" s="38">
        <v>5</v>
      </c>
      <c r="B19" s="39"/>
      <c r="C19" s="93" t="s">
        <v>154</v>
      </c>
      <c r="D19" s="25" t="s">
        <v>60</v>
      </c>
      <c r="E19" s="98">
        <f>E18</f>
        <v>2282.1</v>
      </c>
      <c r="F19" s="65"/>
      <c r="G19" s="62"/>
      <c r="H19" s="47">
        <f t="shared" si="0"/>
        <v>0</v>
      </c>
      <c r="I19" s="62"/>
      <c r="J19" s="62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22" x14ac:dyDescent="0.2">
      <c r="A20" s="38">
        <v>6</v>
      </c>
      <c r="B20" s="39"/>
      <c r="C20" s="93" t="s">
        <v>155</v>
      </c>
      <c r="D20" s="25" t="s">
        <v>104</v>
      </c>
      <c r="E20" s="98">
        <f>1.12*(172.42-2.72*3)</f>
        <v>183.97</v>
      </c>
      <c r="F20" s="65"/>
      <c r="G20" s="62"/>
      <c r="H20" s="47">
        <f t="shared" si="0"/>
        <v>0</v>
      </c>
      <c r="I20" s="62"/>
      <c r="J20" s="62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22" ht="22.5" x14ac:dyDescent="0.2">
      <c r="A21" s="38">
        <v>7</v>
      </c>
      <c r="B21" s="39"/>
      <c r="C21" s="93" t="s">
        <v>156</v>
      </c>
      <c r="D21" s="25" t="s">
        <v>104</v>
      </c>
      <c r="E21" s="98">
        <f>E20</f>
        <v>183.97</v>
      </c>
      <c r="F21" s="65"/>
      <c r="G21" s="62"/>
      <c r="H21" s="47">
        <f t="shared" si="0"/>
        <v>0</v>
      </c>
      <c r="I21" s="62"/>
      <c r="J21" s="62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22" x14ac:dyDescent="0.2">
      <c r="A22" s="38">
        <v>8</v>
      </c>
      <c r="B22" s="39"/>
      <c r="C22" s="93" t="s">
        <v>157</v>
      </c>
      <c r="D22" s="25" t="s">
        <v>97</v>
      </c>
      <c r="E22" s="98">
        <v>1</v>
      </c>
      <c r="F22" s="65"/>
      <c r="G22" s="62"/>
      <c r="H22" s="47">
        <f t="shared" si="0"/>
        <v>0</v>
      </c>
      <c r="I22" s="62"/>
      <c r="J22" s="62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22" x14ac:dyDescent="0.2">
      <c r="A23" s="94">
        <v>2</v>
      </c>
      <c r="B23" s="95"/>
      <c r="C23" s="96" t="s">
        <v>158</v>
      </c>
      <c r="D23" s="25"/>
      <c r="E23" s="98"/>
      <c r="F23" s="65"/>
      <c r="G23" s="62"/>
      <c r="H23" s="47"/>
      <c r="I23" s="62"/>
      <c r="J23" s="62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22" ht="22.5" x14ac:dyDescent="0.2">
      <c r="A24" s="38">
        <v>1</v>
      </c>
      <c r="B24" s="39"/>
      <c r="C24" s="93" t="s">
        <v>159</v>
      </c>
      <c r="D24" s="25" t="s">
        <v>60</v>
      </c>
      <c r="E24" s="98">
        <f>1.3*0.2*8</f>
        <v>2.08</v>
      </c>
      <c r="F24" s="65"/>
      <c r="G24" s="62"/>
      <c r="H24" s="47">
        <f>ROUND(F24*G24,2)</f>
        <v>0</v>
      </c>
      <c r="I24" s="62"/>
      <c r="J24" s="62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22" x14ac:dyDescent="0.2">
      <c r="A25" s="38">
        <v>2</v>
      </c>
      <c r="B25" s="39"/>
      <c r="C25" s="97" t="s">
        <v>160</v>
      </c>
      <c r="D25" s="25" t="s">
        <v>104</v>
      </c>
      <c r="E25" s="98">
        <f>E24*0.25*1.15</f>
        <v>0.6</v>
      </c>
      <c r="F25" s="65"/>
      <c r="G25" s="62"/>
      <c r="H25" s="47"/>
      <c r="I25" s="62"/>
      <c r="J25" s="62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22" x14ac:dyDescent="0.2">
      <c r="A26" s="38">
        <v>3</v>
      </c>
      <c r="B26" s="39"/>
      <c r="C26" s="97" t="s">
        <v>161</v>
      </c>
      <c r="D26" s="25" t="s">
        <v>66</v>
      </c>
      <c r="E26" s="98">
        <f>E24*3*1.15</f>
        <v>7.18</v>
      </c>
      <c r="F26" s="65"/>
      <c r="G26" s="62"/>
      <c r="H26" s="47"/>
      <c r="I26" s="62"/>
      <c r="J26" s="62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22" x14ac:dyDescent="0.2">
      <c r="A27" s="38">
        <v>4</v>
      </c>
      <c r="B27" s="39"/>
      <c r="C27" s="97" t="s">
        <v>162</v>
      </c>
      <c r="D27" s="25" t="s">
        <v>66</v>
      </c>
      <c r="E27" s="98">
        <f>E24*0.4*1.15</f>
        <v>0.96</v>
      </c>
      <c r="F27" s="65"/>
      <c r="G27" s="62"/>
      <c r="H27" s="47"/>
      <c r="I27" s="62"/>
      <c r="J27" s="62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22" x14ac:dyDescent="0.2">
      <c r="A28" s="38">
        <v>5</v>
      </c>
      <c r="B28" s="39"/>
      <c r="C28" s="97" t="s">
        <v>145</v>
      </c>
      <c r="D28" s="25" t="s">
        <v>85</v>
      </c>
      <c r="E28" s="98">
        <v>1</v>
      </c>
      <c r="F28" s="65"/>
      <c r="G28" s="62"/>
      <c r="H28" s="47"/>
      <c r="I28" s="62"/>
      <c r="J28" s="62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22" x14ac:dyDescent="0.2">
      <c r="A29" s="94">
        <v>3</v>
      </c>
      <c r="B29" s="95"/>
      <c r="C29" s="96" t="s">
        <v>163</v>
      </c>
      <c r="D29" s="25"/>
      <c r="E29" s="98"/>
      <c r="F29" s="65"/>
      <c r="G29" s="62"/>
      <c r="H29" s="47"/>
      <c r="I29" s="62"/>
      <c r="J29" s="62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22" ht="22.5" x14ac:dyDescent="0.2">
      <c r="A30" s="38">
        <v>1</v>
      </c>
      <c r="B30" s="39"/>
      <c r="C30" s="93" t="s">
        <v>164</v>
      </c>
      <c r="D30" s="25" t="s">
        <v>60</v>
      </c>
      <c r="E30" s="98">
        <f>(172.42-2.72*3-1.2*0.25*19)*1.8</f>
        <v>285.41000000000003</v>
      </c>
      <c r="F30" s="65"/>
      <c r="G30" s="62"/>
      <c r="H30" s="47">
        <f t="shared" ref="H30:H31" si="7">ROUND(F30*G30,2)</f>
        <v>0</v>
      </c>
      <c r="I30" s="62"/>
      <c r="J30" s="62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22" ht="45" x14ac:dyDescent="0.2">
      <c r="A31" s="38">
        <v>2</v>
      </c>
      <c r="B31" s="39"/>
      <c r="C31" s="93" t="s">
        <v>165</v>
      </c>
      <c r="D31" s="25" t="s">
        <v>60</v>
      </c>
      <c r="E31" s="98">
        <f>(E32+E33)/1.1</f>
        <v>285.41000000000003</v>
      </c>
      <c r="F31" s="65"/>
      <c r="G31" s="62"/>
      <c r="H31" s="47">
        <f t="shared" si="7"/>
        <v>0</v>
      </c>
      <c r="I31" s="62"/>
      <c r="J31" s="62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22" ht="22.5" x14ac:dyDescent="0.2">
      <c r="A32" s="38">
        <v>3</v>
      </c>
      <c r="B32" s="39"/>
      <c r="C32" s="97" t="s">
        <v>166</v>
      </c>
      <c r="D32" s="25" t="s">
        <v>60</v>
      </c>
      <c r="E32" s="98">
        <f>(172.42-2.72*3-1.2*0.25*19-(0.65*4+2.54*6+1.47*10))*1.8*1.1</f>
        <v>249.52</v>
      </c>
      <c r="F32" s="65"/>
      <c r="G32" s="62"/>
      <c r="H32" s="47"/>
      <c r="I32" s="62"/>
      <c r="J32" s="62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2.5" x14ac:dyDescent="0.2">
      <c r="A33" s="38">
        <v>4</v>
      </c>
      <c r="B33" s="39"/>
      <c r="C33" s="97" t="s">
        <v>167</v>
      </c>
      <c r="D33" s="25" t="s">
        <v>60</v>
      </c>
      <c r="E33" s="98">
        <f>(0.65*4+2.54*6+1.47*10)*1.8*1.1</f>
        <v>64.430000000000007</v>
      </c>
      <c r="F33" s="65"/>
      <c r="G33" s="62"/>
      <c r="H33" s="47"/>
      <c r="I33" s="62"/>
      <c r="J33" s="62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x14ac:dyDescent="0.2">
      <c r="A34" s="38">
        <v>5</v>
      </c>
      <c r="B34" s="39"/>
      <c r="C34" s="97" t="s">
        <v>168</v>
      </c>
      <c r="D34" s="25" t="s">
        <v>66</v>
      </c>
      <c r="E34" s="98">
        <f>E31*6.5</f>
        <v>1855.17</v>
      </c>
      <c r="F34" s="65"/>
      <c r="G34" s="62"/>
      <c r="H34" s="47"/>
      <c r="I34" s="62"/>
      <c r="J34" s="62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x14ac:dyDescent="0.2">
      <c r="A35" s="38">
        <v>6</v>
      </c>
      <c r="B35" s="39"/>
      <c r="C35" s="97" t="s">
        <v>142</v>
      </c>
      <c r="D35" s="25" t="s">
        <v>68</v>
      </c>
      <c r="E35" s="98">
        <v>1</v>
      </c>
      <c r="F35" s="65"/>
      <c r="G35" s="62"/>
      <c r="H35" s="47"/>
      <c r="I35" s="62"/>
      <c r="J35" s="62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2.5" x14ac:dyDescent="0.2">
      <c r="A36" s="38">
        <v>7</v>
      </c>
      <c r="B36" s="39"/>
      <c r="C36" s="93" t="s">
        <v>169</v>
      </c>
      <c r="D36" s="25" t="s">
        <v>60</v>
      </c>
      <c r="E36" s="98">
        <f>E30*2</f>
        <v>570.82000000000005</v>
      </c>
      <c r="F36" s="65"/>
      <c r="G36" s="62"/>
      <c r="H36" s="47">
        <f t="shared" ref="H36" si="8">ROUND(F36*G36,2)</f>
        <v>0</v>
      </c>
      <c r="I36" s="62"/>
      <c r="J36" s="62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2.5" x14ac:dyDescent="0.2">
      <c r="A37" s="38">
        <v>8</v>
      </c>
      <c r="B37" s="39"/>
      <c r="C37" s="97" t="s">
        <v>64</v>
      </c>
      <c r="D37" s="25" t="s">
        <v>60</v>
      </c>
      <c r="E37" s="98">
        <f>E36*1.25</f>
        <v>713.53</v>
      </c>
      <c r="F37" s="65"/>
      <c r="G37" s="62"/>
      <c r="H37" s="47"/>
      <c r="I37" s="62"/>
      <c r="J37" s="62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x14ac:dyDescent="0.2">
      <c r="A38" s="38">
        <v>9</v>
      </c>
      <c r="B38" s="39"/>
      <c r="C38" s="97" t="s">
        <v>65</v>
      </c>
      <c r="D38" s="25" t="s">
        <v>66</v>
      </c>
      <c r="E38" s="98">
        <f>E36*5</f>
        <v>2854.1</v>
      </c>
      <c r="F38" s="65"/>
      <c r="G38" s="62"/>
      <c r="H38" s="47"/>
      <c r="I38" s="62"/>
      <c r="J38" s="62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x14ac:dyDescent="0.2">
      <c r="A39" s="38">
        <v>10</v>
      </c>
      <c r="B39" s="39"/>
      <c r="C39" s="97" t="s">
        <v>67</v>
      </c>
      <c r="D39" s="25" t="s">
        <v>68</v>
      </c>
      <c r="E39" s="98">
        <v>1</v>
      </c>
      <c r="F39" s="65"/>
      <c r="G39" s="62"/>
      <c r="H39" s="47"/>
      <c r="I39" s="62"/>
      <c r="J39" s="62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2.5" x14ac:dyDescent="0.2">
      <c r="A40" s="38">
        <v>11</v>
      </c>
      <c r="B40" s="39"/>
      <c r="C40" s="97" t="s">
        <v>69</v>
      </c>
      <c r="D40" s="25" t="s">
        <v>66</v>
      </c>
      <c r="E40" s="98">
        <f>E36*0.25</f>
        <v>142.71</v>
      </c>
      <c r="F40" s="65"/>
      <c r="G40" s="62"/>
      <c r="H40" s="47"/>
      <c r="I40" s="62"/>
      <c r="J40" s="62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38">
        <v>12</v>
      </c>
      <c r="B41" s="39"/>
      <c r="C41" s="93" t="s">
        <v>170</v>
      </c>
      <c r="D41" s="25" t="s">
        <v>60</v>
      </c>
      <c r="E41" s="98">
        <f>(172.42-2.72*3-1.2*0.25*19)*0.8</f>
        <v>126.85</v>
      </c>
      <c r="F41" s="65"/>
      <c r="G41" s="62"/>
      <c r="H41" s="47">
        <f t="shared" ref="H41" si="9">ROUND(F41*G41,2)</f>
        <v>0</v>
      </c>
      <c r="I41" s="62"/>
      <c r="J41" s="62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2.5" x14ac:dyDescent="0.2">
      <c r="A42" s="38">
        <v>13</v>
      </c>
      <c r="B42" s="39"/>
      <c r="C42" s="97" t="s">
        <v>71</v>
      </c>
      <c r="D42" s="25" t="s">
        <v>66</v>
      </c>
      <c r="E42" s="98">
        <f>E41*4</f>
        <v>507.4</v>
      </c>
      <c r="F42" s="65"/>
      <c r="G42" s="62"/>
      <c r="H42" s="47"/>
      <c r="I42" s="62"/>
      <c r="J42" s="62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x14ac:dyDescent="0.2">
      <c r="A43" s="38">
        <v>14</v>
      </c>
      <c r="B43" s="39"/>
      <c r="C43" s="97" t="s">
        <v>72</v>
      </c>
      <c r="D43" s="25" t="s">
        <v>68</v>
      </c>
      <c r="E43" s="98">
        <v>1</v>
      </c>
      <c r="F43" s="65"/>
      <c r="G43" s="62"/>
      <c r="H43" s="47"/>
      <c r="I43" s="62"/>
      <c r="J43" s="62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x14ac:dyDescent="0.2">
      <c r="A44" s="38">
        <v>15</v>
      </c>
      <c r="B44" s="39"/>
      <c r="C44" s="93" t="s">
        <v>171</v>
      </c>
      <c r="D44" s="25" t="s">
        <v>60</v>
      </c>
      <c r="E44" s="98">
        <f>E41</f>
        <v>126.85</v>
      </c>
      <c r="F44" s="65"/>
      <c r="G44" s="62"/>
      <c r="H44" s="47">
        <f t="shared" ref="H44" si="10">ROUND(F44*G44,2)</f>
        <v>0</v>
      </c>
      <c r="I44" s="62"/>
      <c r="J44" s="62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2.5" x14ac:dyDescent="0.2">
      <c r="A45" s="38">
        <v>16</v>
      </c>
      <c r="B45" s="39"/>
      <c r="C45" s="97" t="s">
        <v>74</v>
      </c>
      <c r="D45" s="25" t="s">
        <v>75</v>
      </c>
      <c r="E45" s="98">
        <f>E44*0.45*1.2</f>
        <v>68.5</v>
      </c>
      <c r="F45" s="65"/>
      <c r="G45" s="62"/>
      <c r="H45" s="47"/>
      <c r="I45" s="62"/>
      <c r="J45" s="62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x14ac:dyDescent="0.2">
      <c r="A46" s="38">
        <v>17</v>
      </c>
      <c r="B46" s="39"/>
      <c r="C46" s="97" t="s">
        <v>72</v>
      </c>
      <c r="D46" s="25" t="s">
        <v>68</v>
      </c>
      <c r="E46" s="98">
        <v>1</v>
      </c>
      <c r="F46" s="65"/>
      <c r="G46" s="62"/>
      <c r="H46" s="47"/>
      <c r="I46" s="62"/>
      <c r="J46" s="62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x14ac:dyDescent="0.2">
      <c r="A47" s="94">
        <v>4</v>
      </c>
      <c r="B47" s="95"/>
      <c r="C47" s="96" t="s">
        <v>172</v>
      </c>
      <c r="D47" s="25"/>
      <c r="E47" s="98"/>
      <c r="F47" s="65"/>
      <c r="G47" s="62"/>
      <c r="H47" s="47"/>
      <c r="I47" s="62"/>
      <c r="J47" s="62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x14ac:dyDescent="0.2">
      <c r="A48" s="38">
        <v>1</v>
      </c>
      <c r="B48" s="39"/>
      <c r="C48" s="93" t="s">
        <v>173</v>
      </c>
      <c r="D48" s="25" t="s">
        <v>82</v>
      </c>
      <c r="E48" s="98">
        <f>5.97+12.58+8.96+6.04+8.89+5.97+2.86+12.58+6+6</f>
        <v>75.849999999999994</v>
      </c>
      <c r="F48" s="65"/>
      <c r="G48" s="62"/>
      <c r="H48" s="47">
        <f t="shared" ref="H48" si="11">ROUND(F48*G48,2)</f>
        <v>0</v>
      </c>
      <c r="I48" s="62"/>
      <c r="J48" s="62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20" x14ac:dyDescent="0.2">
      <c r="A49" s="38">
        <v>2</v>
      </c>
      <c r="B49" s="39"/>
      <c r="C49" s="97" t="s">
        <v>174</v>
      </c>
      <c r="D49" s="25" t="s">
        <v>82</v>
      </c>
      <c r="E49" s="98">
        <f>E48*1.1</f>
        <v>83.44</v>
      </c>
      <c r="F49" s="65"/>
      <c r="G49" s="62"/>
      <c r="H49" s="47"/>
      <c r="I49" s="62"/>
      <c r="J49" s="62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20" x14ac:dyDescent="0.2">
      <c r="A50" s="38">
        <v>3</v>
      </c>
      <c r="B50" s="39"/>
      <c r="C50" s="97" t="s">
        <v>175</v>
      </c>
      <c r="D50" s="25" t="s">
        <v>68</v>
      </c>
      <c r="E50" s="98">
        <v>1</v>
      </c>
      <c r="F50" s="65"/>
      <c r="G50" s="62"/>
      <c r="H50" s="47"/>
      <c r="I50" s="62"/>
      <c r="J50" s="62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20" ht="99" customHeight="1" x14ac:dyDescent="0.2">
      <c r="A51" s="38">
        <v>4</v>
      </c>
      <c r="B51" s="39"/>
      <c r="C51" s="93" t="s">
        <v>176</v>
      </c>
      <c r="D51" s="25" t="s">
        <v>60</v>
      </c>
      <c r="E51" s="98">
        <v>1808.1</v>
      </c>
      <c r="F51" s="65"/>
      <c r="G51" s="62"/>
      <c r="H51" s="47">
        <f t="shared" ref="H51" si="12">ROUND(F51*G51,2)</f>
        <v>0</v>
      </c>
      <c r="I51" s="62"/>
      <c r="J51" s="62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  <c r="Q51" s="104"/>
      <c r="R51" s="105"/>
      <c r="T51" s="103"/>
    </row>
    <row r="52" spans="1:20" ht="22.5" x14ac:dyDescent="0.2">
      <c r="A52" s="38">
        <v>5</v>
      </c>
      <c r="B52" s="39"/>
      <c r="C52" s="97" t="s">
        <v>177</v>
      </c>
      <c r="D52" s="25" t="s">
        <v>60</v>
      </c>
      <c r="E52" s="98">
        <v>1233.0999999999999</v>
      </c>
      <c r="F52" s="65"/>
      <c r="G52" s="62"/>
      <c r="H52" s="47"/>
      <c r="I52" s="62"/>
      <c r="J52" s="62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  <c r="Q52" s="104"/>
      <c r="R52" s="105"/>
      <c r="T52" s="104"/>
    </row>
    <row r="53" spans="1:20" ht="22.5" x14ac:dyDescent="0.2">
      <c r="A53" s="38">
        <v>6</v>
      </c>
      <c r="B53" s="39"/>
      <c r="C53" s="97" t="s">
        <v>178</v>
      </c>
      <c r="D53" s="25" t="s">
        <v>60</v>
      </c>
      <c r="E53" s="98">
        <v>575</v>
      </c>
      <c r="F53" s="65"/>
      <c r="G53" s="62"/>
      <c r="H53" s="47"/>
      <c r="I53" s="62"/>
      <c r="J53" s="62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  <c r="Q53" s="104"/>
      <c r="R53" s="105"/>
      <c r="T53" s="104"/>
    </row>
    <row r="54" spans="1:20" x14ac:dyDescent="0.2">
      <c r="A54" s="38">
        <v>7</v>
      </c>
      <c r="B54" s="39"/>
      <c r="C54" s="97" t="s">
        <v>141</v>
      </c>
      <c r="D54" s="25" t="s">
        <v>66</v>
      </c>
      <c r="E54" s="98">
        <f>E51*6.5</f>
        <v>11752.65</v>
      </c>
      <c r="F54" s="65"/>
      <c r="G54" s="62"/>
      <c r="H54" s="47"/>
      <c r="I54" s="62"/>
      <c r="J54" s="62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  <c r="Q54" s="104"/>
      <c r="R54" s="105"/>
      <c r="T54" s="104"/>
    </row>
    <row r="55" spans="1:20" x14ac:dyDescent="0.2">
      <c r="A55" s="38">
        <v>8</v>
      </c>
      <c r="B55" s="39"/>
      <c r="C55" s="97" t="s">
        <v>142</v>
      </c>
      <c r="D55" s="25" t="s">
        <v>68</v>
      </c>
      <c r="E55" s="98">
        <v>1</v>
      </c>
      <c r="F55" s="65"/>
      <c r="G55" s="62"/>
      <c r="H55" s="47"/>
      <c r="I55" s="62"/>
      <c r="J55" s="62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  <c r="Q55" s="104"/>
      <c r="R55" s="105"/>
      <c r="T55" s="104"/>
    </row>
    <row r="56" spans="1:20" ht="22.5" x14ac:dyDescent="0.2">
      <c r="A56" s="38">
        <v>9</v>
      </c>
      <c r="B56" s="39"/>
      <c r="C56" s="93" t="s">
        <v>179</v>
      </c>
      <c r="D56" s="25" t="s">
        <v>60</v>
      </c>
      <c r="E56" s="98">
        <v>426.9</v>
      </c>
      <c r="F56" s="65"/>
      <c r="G56" s="62"/>
      <c r="H56" s="47">
        <f t="shared" ref="H56" si="13">ROUND(F56*G56,2)</f>
        <v>0</v>
      </c>
      <c r="I56" s="62"/>
      <c r="J56" s="62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  <c r="Q56" s="103"/>
      <c r="R56" s="105"/>
      <c r="T56" s="103"/>
    </row>
    <row r="57" spans="1:20" ht="22.5" x14ac:dyDescent="0.2">
      <c r="A57" s="38">
        <v>10</v>
      </c>
      <c r="B57" s="39"/>
      <c r="C57" s="97" t="s">
        <v>64</v>
      </c>
      <c r="D57" s="25" t="s">
        <v>60</v>
      </c>
      <c r="E57" s="98">
        <f>E56*1.25</f>
        <v>533.63</v>
      </c>
      <c r="F57" s="65"/>
      <c r="G57" s="62"/>
      <c r="H57" s="47"/>
      <c r="I57" s="62"/>
      <c r="J57" s="62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  <c r="Q57" s="104"/>
      <c r="R57" s="105"/>
      <c r="T57" s="104"/>
    </row>
    <row r="58" spans="1:20" x14ac:dyDescent="0.2">
      <c r="A58" s="38">
        <v>11</v>
      </c>
      <c r="B58" s="39"/>
      <c r="C58" s="97" t="s">
        <v>141</v>
      </c>
      <c r="D58" s="25" t="s">
        <v>66</v>
      </c>
      <c r="E58" s="98">
        <f>E56*5</f>
        <v>2134.5</v>
      </c>
      <c r="F58" s="65"/>
      <c r="G58" s="62"/>
      <c r="H58" s="47"/>
      <c r="I58" s="62"/>
      <c r="J58" s="62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  <c r="Q58" s="104"/>
      <c r="R58" s="105"/>
      <c r="T58" s="104"/>
    </row>
    <row r="59" spans="1:20" ht="22.5" x14ac:dyDescent="0.2">
      <c r="A59" s="38">
        <v>12</v>
      </c>
      <c r="B59" s="39"/>
      <c r="C59" s="93" t="s">
        <v>180</v>
      </c>
      <c r="D59" s="25" t="s">
        <v>60</v>
      </c>
      <c r="E59" s="98">
        <f>E51</f>
        <v>1808.1</v>
      </c>
      <c r="F59" s="65"/>
      <c r="G59" s="62"/>
      <c r="H59" s="47">
        <f t="shared" ref="H59:H72" si="14">ROUND(F59*G59,2)</f>
        <v>0</v>
      </c>
      <c r="I59" s="62"/>
      <c r="J59" s="62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  <c r="Q59" s="104"/>
      <c r="R59" s="105"/>
      <c r="T59" s="104"/>
    </row>
    <row r="60" spans="1:20" ht="22.5" x14ac:dyDescent="0.2">
      <c r="A60" s="38">
        <v>13</v>
      </c>
      <c r="B60" s="39"/>
      <c r="C60" s="97" t="s">
        <v>64</v>
      </c>
      <c r="D60" s="25" t="s">
        <v>60</v>
      </c>
      <c r="E60" s="98">
        <f>E59*1.25</f>
        <v>2260.13</v>
      </c>
      <c r="F60" s="65"/>
      <c r="G60" s="62"/>
      <c r="H60" s="47"/>
      <c r="I60" s="62"/>
      <c r="J60" s="62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  <c r="Q60" s="104"/>
      <c r="R60" s="105"/>
      <c r="T60" s="104"/>
    </row>
    <row r="61" spans="1:20" x14ac:dyDescent="0.2">
      <c r="A61" s="38">
        <v>14</v>
      </c>
      <c r="B61" s="39"/>
      <c r="C61" s="97" t="s">
        <v>141</v>
      </c>
      <c r="D61" s="25" t="s">
        <v>66</v>
      </c>
      <c r="E61" s="98">
        <f>E59*5</f>
        <v>9040.5</v>
      </c>
      <c r="F61" s="65"/>
      <c r="G61" s="62"/>
      <c r="H61" s="47"/>
      <c r="I61" s="62"/>
      <c r="J61" s="62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  <c r="Q61" s="104"/>
      <c r="R61" s="105"/>
      <c r="T61" s="104"/>
    </row>
    <row r="62" spans="1:20" x14ac:dyDescent="0.2">
      <c r="A62" s="38">
        <v>15</v>
      </c>
      <c r="B62" s="39"/>
      <c r="C62" s="97" t="s">
        <v>181</v>
      </c>
      <c r="D62" s="25" t="s">
        <v>82</v>
      </c>
      <c r="E62" s="98">
        <f>E48*1.1</f>
        <v>83.44</v>
      </c>
      <c r="F62" s="65"/>
      <c r="G62" s="62"/>
      <c r="H62" s="47"/>
      <c r="I62" s="62"/>
      <c r="J62" s="62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  <c r="Q62" s="104"/>
      <c r="R62" s="105"/>
      <c r="T62" s="104"/>
    </row>
    <row r="63" spans="1:20" x14ac:dyDescent="0.2">
      <c r="A63" s="38">
        <v>16</v>
      </c>
      <c r="B63" s="39"/>
      <c r="C63" s="97" t="s">
        <v>67</v>
      </c>
      <c r="D63" s="25" t="s">
        <v>68</v>
      </c>
      <c r="E63" s="98">
        <v>1</v>
      </c>
      <c r="F63" s="65"/>
      <c r="G63" s="62"/>
      <c r="H63" s="47"/>
      <c r="I63" s="62"/>
      <c r="J63" s="62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  <c r="Q63" s="104"/>
      <c r="R63" s="105"/>
      <c r="T63" s="104"/>
    </row>
    <row r="64" spans="1:20" ht="22.5" x14ac:dyDescent="0.2">
      <c r="A64" s="38">
        <v>17</v>
      </c>
      <c r="B64" s="39"/>
      <c r="C64" s="97" t="s">
        <v>69</v>
      </c>
      <c r="D64" s="25" t="s">
        <v>66</v>
      </c>
      <c r="E64" s="98">
        <f>E59*0.25</f>
        <v>452.03</v>
      </c>
      <c r="F64" s="65"/>
      <c r="G64" s="62"/>
      <c r="H64" s="47"/>
      <c r="I64" s="62"/>
      <c r="J64" s="62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  <c r="Q64" s="104"/>
      <c r="R64" s="105"/>
      <c r="T64" s="104"/>
    </row>
    <row r="65" spans="1:20" ht="22.5" x14ac:dyDescent="0.2">
      <c r="A65" s="38">
        <v>18</v>
      </c>
      <c r="B65" s="39"/>
      <c r="C65" s="93" t="s">
        <v>182</v>
      </c>
      <c r="D65" s="25" t="s">
        <v>60</v>
      </c>
      <c r="E65" s="98">
        <f>E59</f>
        <v>1808.1</v>
      </c>
      <c r="F65" s="65"/>
      <c r="G65" s="62"/>
      <c r="H65" s="47">
        <f t="shared" si="14"/>
        <v>0</v>
      </c>
      <c r="I65" s="62"/>
      <c r="J65" s="62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  <c r="Q65" s="104"/>
      <c r="R65" s="105"/>
      <c r="T65" s="104"/>
    </row>
    <row r="66" spans="1:20" ht="22.5" x14ac:dyDescent="0.2">
      <c r="A66" s="38">
        <v>19</v>
      </c>
      <c r="B66" s="39"/>
      <c r="C66" s="97" t="s">
        <v>71</v>
      </c>
      <c r="D66" s="25" t="s">
        <v>66</v>
      </c>
      <c r="E66" s="98">
        <f>E65*4</f>
        <v>7232.4</v>
      </c>
      <c r="F66" s="65"/>
      <c r="G66" s="62"/>
      <c r="H66" s="47"/>
      <c r="I66" s="62"/>
      <c r="J66" s="62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  <c r="Q66" s="104"/>
      <c r="R66" s="105"/>
      <c r="T66" s="104"/>
    </row>
    <row r="67" spans="1:20" x14ac:dyDescent="0.2">
      <c r="A67" s="38">
        <v>20</v>
      </c>
      <c r="B67" s="39"/>
      <c r="C67" s="97" t="s">
        <v>72</v>
      </c>
      <c r="D67" s="25" t="s">
        <v>68</v>
      </c>
      <c r="E67" s="98">
        <v>1</v>
      </c>
      <c r="F67" s="65"/>
      <c r="G67" s="62"/>
      <c r="H67" s="47"/>
      <c r="I67" s="62"/>
      <c r="J67" s="62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  <c r="Q67" s="104"/>
      <c r="R67" s="105"/>
      <c r="T67" s="104"/>
    </row>
    <row r="68" spans="1:20" x14ac:dyDescent="0.2">
      <c r="A68" s="38">
        <v>21</v>
      </c>
      <c r="B68" s="39"/>
      <c r="C68" s="93" t="s">
        <v>183</v>
      </c>
      <c r="D68" s="25" t="s">
        <v>60</v>
      </c>
      <c r="E68" s="98">
        <f>E65</f>
        <v>1808.1</v>
      </c>
      <c r="F68" s="65"/>
      <c r="G68" s="62"/>
      <c r="H68" s="47">
        <f t="shared" si="14"/>
        <v>0</v>
      </c>
      <c r="I68" s="62"/>
      <c r="J68" s="62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  <c r="Q68" s="104"/>
      <c r="R68" s="105"/>
      <c r="T68" s="104"/>
    </row>
    <row r="69" spans="1:20" ht="22.5" x14ac:dyDescent="0.2">
      <c r="A69" s="38">
        <v>22</v>
      </c>
      <c r="B69" s="39"/>
      <c r="C69" s="97" t="s">
        <v>74</v>
      </c>
      <c r="D69" s="25" t="s">
        <v>75</v>
      </c>
      <c r="E69" s="98">
        <f>E68*0.45*1.2</f>
        <v>976.37</v>
      </c>
      <c r="F69" s="65"/>
      <c r="G69" s="62"/>
      <c r="H69" s="47"/>
      <c r="I69" s="62"/>
      <c r="J69" s="62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  <c r="Q69" s="104"/>
      <c r="R69" s="105"/>
      <c r="T69" s="104"/>
    </row>
    <row r="70" spans="1:20" x14ac:dyDescent="0.2">
      <c r="A70" s="38">
        <v>23</v>
      </c>
      <c r="B70" s="39"/>
      <c r="C70" s="97" t="s">
        <v>72</v>
      </c>
      <c r="D70" s="25" t="s">
        <v>68</v>
      </c>
      <c r="E70" s="98">
        <v>1</v>
      </c>
      <c r="F70" s="65"/>
      <c r="G70" s="62"/>
      <c r="H70" s="47"/>
      <c r="I70" s="62"/>
      <c r="J70" s="62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  <c r="Q70" s="104"/>
      <c r="R70" s="105"/>
      <c r="T70" s="104"/>
    </row>
    <row r="71" spans="1:20" x14ac:dyDescent="0.2">
      <c r="A71" s="94">
        <v>5</v>
      </c>
      <c r="B71" s="95"/>
      <c r="C71" s="96" t="s">
        <v>184</v>
      </c>
      <c r="D71" s="25"/>
      <c r="E71" s="98"/>
      <c r="F71" s="65"/>
      <c r="G71" s="62"/>
      <c r="H71" s="47"/>
      <c r="I71" s="62"/>
      <c r="J71" s="62"/>
      <c r="K71" s="48">
        <f t="shared" ref="K71:K126" si="15">SUM(H71:J71)</f>
        <v>0</v>
      </c>
      <c r="L71" s="49">
        <f t="shared" ref="L71:L126" si="16">ROUND(E71*F71,2)</f>
        <v>0</v>
      </c>
      <c r="M71" s="47">
        <f t="shared" ref="M71:M126" si="17">ROUND(H71*E71,2)</f>
        <v>0</v>
      </c>
      <c r="N71" s="47">
        <f t="shared" ref="N71:N126" si="18">ROUND(I71*E71,2)</f>
        <v>0</v>
      </c>
      <c r="O71" s="47">
        <f t="shared" ref="O71:O126" si="19">ROUND(J71*E71,2)</f>
        <v>0</v>
      </c>
      <c r="P71" s="48">
        <f t="shared" ref="P71:P126" si="20">SUM(M71:O71)</f>
        <v>0</v>
      </c>
    </row>
    <row r="72" spans="1:20" ht="22.5" x14ac:dyDescent="0.2">
      <c r="A72" s="38">
        <v>1</v>
      </c>
      <c r="B72" s="39"/>
      <c r="C72" s="93" t="s">
        <v>185</v>
      </c>
      <c r="D72" s="25" t="s">
        <v>60</v>
      </c>
      <c r="E72" s="98">
        <v>269</v>
      </c>
      <c r="F72" s="65"/>
      <c r="G72" s="62"/>
      <c r="H72" s="47">
        <f t="shared" si="14"/>
        <v>0</v>
      </c>
      <c r="I72" s="62"/>
      <c r="J72" s="62"/>
      <c r="K72" s="48">
        <f t="shared" si="15"/>
        <v>0</v>
      </c>
      <c r="L72" s="49">
        <f t="shared" si="16"/>
        <v>0</v>
      </c>
      <c r="M72" s="47">
        <f t="shared" si="17"/>
        <v>0</v>
      </c>
      <c r="N72" s="47">
        <f t="shared" si="18"/>
        <v>0</v>
      </c>
      <c r="O72" s="47">
        <f t="shared" si="19"/>
        <v>0</v>
      </c>
      <c r="P72" s="48">
        <f t="shared" si="20"/>
        <v>0</v>
      </c>
    </row>
    <row r="73" spans="1:20" ht="22.5" x14ac:dyDescent="0.2">
      <c r="A73" s="38">
        <v>2</v>
      </c>
      <c r="B73" s="39"/>
      <c r="C73" s="97" t="s">
        <v>186</v>
      </c>
      <c r="D73" s="25" t="s">
        <v>60</v>
      </c>
      <c r="E73" s="98">
        <f>E72*1.1</f>
        <v>295.89999999999998</v>
      </c>
      <c r="F73" s="65"/>
      <c r="G73" s="62"/>
      <c r="H73" s="47"/>
      <c r="I73" s="62"/>
      <c r="J73" s="62"/>
      <c r="K73" s="48">
        <f t="shared" si="15"/>
        <v>0</v>
      </c>
      <c r="L73" s="49">
        <f t="shared" si="16"/>
        <v>0</v>
      </c>
      <c r="M73" s="47">
        <f t="shared" si="17"/>
        <v>0</v>
      </c>
      <c r="N73" s="47">
        <f t="shared" si="18"/>
        <v>0</v>
      </c>
      <c r="O73" s="47">
        <f t="shared" si="19"/>
        <v>0</v>
      </c>
      <c r="P73" s="48">
        <f t="shared" si="20"/>
        <v>0</v>
      </c>
      <c r="Q73" s="104"/>
      <c r="R73" s="105"/>
    </row>
    <row r="74" spans="1:20" x14ac:dyDescent="0.2">
      <c r="A74" s="38">
        <v>3</v>
      </c>
      <c r="B74" s="39"/>
      <c r="C74" s="97" t="s">
        <v>141</v>
      </c>
      <c r="D74" s="25" t="s">
        <v>66</v>
      </c>
      <c r="E74" s="98">
        <f>E72*6.5</f>
        <v>1748.5</v>
      </c>
      <c r="F74" s="65"/>
      <c r="G74" s="62"/>
      <c r="H74" s="47"/>
      <c r="I74" s="62"/>
      <c r="J74" s="62"/>
      <c r="K74" s="48">
        <f t="shared" si="15"/>
        <v>0</v>
      </c>
      <c r="L74" s="49">
        <f t="shared" si="16"/>
        <v>0</v>
      </c>
      <c r="M74" s="47">
        <f t="shared" si="17"/>
        <v>0</v>
      </c>
      <c r="N74" s="47">
        <f t="shared" si="18"/>
        <v>0</v>
      </c>
      <c r="O74" s="47">
        <f t="shared" si="19"/>
        <v>0</v>
      </c>
      <c r="P74" s="48">
        <f t="shared" si="20"/>
        <v>0</v>
      </c>
    </row>
    <row r="75" spans="1:20" x14ac:dyDescent="0.2">
      <c r="A75" s="38">
        <v>4</v>
      </c>
      <c r="B75" s="39"/>
      <c r="C75" s="97" t="s">
        <v>145</v>
      </c>
      <c r="D75" s="25" t="s">
        <v>68</v>
      </c>
      <c r="E75" s="98">
        <v>1</v>
      </c>
      <c r="F75" s="65"/>
      <c r="G75" s="62"/>
      <c r="H75" s="47"/>
      <c r="I75" s="62"/>
      <c r="J75" s="62"/>
      <c r="K75" s="48">
        <f t="shared" si="15"/>
        <v>0</v>
      </c>
      <c r="L75" s="49">
        <f t="shared" si="16"/>
        <v>0</v>
      </c>
      <c r="M75" s="47">
        <f t="shared" si="17"/>
        <v>0</v>
      </c>
      <c r="N75" s="47">
        <f t="shared" si="18"/>
        <v>0</v>
      </c>
      <c r="O75" s="47">
        <f t="shared" si="19"/>
        <v>0</v>
      </c>
      <c r="P75" s="48">
        <f t="shared" si="20"/>
        <v>0</v>
      </c>
    </row>
    <row r="76" spans="1:20" ht="22.5" x14ac:dyDescent="0.2">
      <c r="A76" s="38">
        <v>5</v>
      </c>
      <c r="B76" s="39"/>
      <c r="C76" s="93" t="s">
        <v>187</v>
      </c>
      <c r="D76" s="25" t="s">
        <v>60</v>
      </c>
      <c r="E76" s="98">
        <f>E72</f>
        <v>269</v>
      </c>
      <c r="F76" s="65"/>
      <c r="G76" s="62"/>
      <c r="H76" s="47">
        <f t="shared" ref="H76" si="21">ROUND(F76*G76,2)</f>
        <v>0</v>
      </c>
      <c r="I76" s="62"/>
      <c r="J76" s="62"/>
      <c r="K76" s="48">
        <f t="shared" si="15"/>
        <v>0</v>
      </c>
      <c r="L76" s="49">
        <f t="shared" si="16"/>
        <v>0</v>
      </c>
      <c r="M76" s="47">
        <f t="shared" si="17"/>
        <v>0</v>
      </c>
      <c r="N76" s="47">
        <f t="shared" si="18"/>
        <v>0</v>
      </c>
      <c r="O76" s="47">
        <f t="shared" si="19"/>
        <v>0</v>
      </c>
      <c r="P76" s="48">
        <f t="shared" si="20"/>
        <v>0</v>
      </c>
    </row>
    <row r="77" spans="1:20" ht="22.5" x14ac:dyDescent="0.2">
      <c r="A77" s="38">
        <v>6</v>
      </c>
      <c r="B77" s="39"/>
      <c r="C77" s="97" t="s">
        <v>64</v>
      </c>
      <c r="D77" s="25" t="s">
        <v>60</v>
      </c>
      <c r="E77" s="98">
        <f>E76*1.25</f>
        <v>336.25</v>
      </c>
      <c r="F77" s="65"/>
      <c r="G77" s="62"/>
      <c r="H77" s="47"/>
      <c r="I77" s="62"/>
      <c r="J77" s="62"/>
      <c r="K77" s="48">
        <f t="shared" si="15"/>
        <v>0</v>
      </c>
      <c r="L77" s="49">
        <f t="shared" si="16"/>
        <v>0</v>
      </c>
      <c r="M77" s="47">
        <f t="shared" si="17"/>
        <v>0</v>
      </c>
      <c r="N77" s="47">
        <f t="shared" si="18"/>
        <v>0</v>
      </c>
      <c r="O77" s="47">
        <f t="shared" si="19"/>
        <v>0</v>
      </c>
      <c r="P77" s="48">
        <f t="shared" si="20"/>
        <v>0</v>
      </c>
    </row>
    <row r="78" spans="1:20" ht="22.5" x14ac:dyDescent="0.2">
      <c r="A78" s="38">
        <v>7</v>
      </c>
      <c r="B78" s="39"/>
      <c r="C78" s="97" t="s">
        <v>188</v>
      </c>
      <c r="D78" s="25" t="s">
        <v>82</v>
      </c>
      <c r="E78" s="98">
        <f>1098.2*1.1</f>
        <v>1208.02</v>
      </c>
      <c r="F78" s="65"/>
      <c r="G78" s="62"/>
      <c r="H78" s="47"/>
      <c r="I78" s="62"/>
      <c r="J78" s="62"/>
      <c r="K78" s="48">
        <f t="shared" si="15"/>
        <v>0</v>
      </c>
      <c r="L78" s="49">
        <f t="shared" si="16"/>
        <v>0</v>
      </c>
      <c r="M78" s="47">
        <f t="shared" si="17"/>
        <v>0</v>
      </c>
      <c r="N78" s="47">
        <f t="shared" si="18"/>
        <v>0</v>
      </c>
      <c r="O78" s="47">
        <f t="shared" si="19"/>
        <v>0</v>
      </c>
      <c r="P78" s="48">
        <f t="shared" si="20"/>
        <v>0</v>
      </c>
    </row>
    <row r="79" spans="1:20" x14ac:dyDescent="0.2">
      <c r="A79" s="38">
        <v>8</v>
      </c>
      <c r="B79" s="39"/>
      <c r="C79" s="97" t="s">
        <v>141</v>
      </c>
      <c r="D79" s="25" t="s">
        <v>66</v>
      </c>
      <c r="E79" s="98">
        <f>E76*5</f>
        <v>1345</v>
      </c>
      <c r="F79" s="65"/>
      <c r="G79" s="62"/>
      <c r="H79" s="47"/>
      <c r="I79" s="62"/>
      <c r="J79" s="62"/>
      <c r="K79" s="48">
        <f t="shared" si="15"/>
        <v>0</v>
      </c>
      <c r="L79" s="49">
        <f t="shared" si="16"/>
        <v>0</v>
      </c>
      <c r="M79" s="47">
        <f t="shared" si="17"/>
        <v>0</v>
      </c>
      <c r="N79" s="47">
        <f t="shared" si="18"/>
        <v>0</v>
      </c>
      <c r="O79" s="47">
        <f t="shared" si="19"/>
        <v>0</v>
      </c>
      <c r="P79" s="48">
        <f t="shared" si="20"/>
        <v>0</v>
      </c>
    </row>
    <row r="80" spans="1:20" x14ac:dyDescent="0.2">
      <c r="A80" s="38">
        <v>9</v>
      </c>
      <c r="B80" s="39"/>
      <c r="C80" s="97" t="s">
        <v>67</v>
      </c>
      <c r="D80" s="25" t="s">
        <v>68</v>
      </c>
      <c r="E80" s="98">
        <v>1</v>
      </c>
      <c r="F80" s="65"/>
      <c r="G80" s="62"/>
      <c r="H80" s="47"/>
      <c r="I80" s="62"/>
      <c r="J80" s="62"/>
      <c r="K80" s="48">
        <f t="shared" si="15"/>
        <v>0</v>
      </c>
      <c r="L80" s="49">
        <f t="shared" si="16"/>
        <v>0</v>
      </c>
      <c r="M80" s="47">
        <f t="shared" si="17"/>
        <v>0</v>
      </c>
      <c r="N80" s="47">
        <f t="shared" si="18"/>
        <v>0</v>
      </c>
      <c r="O80" s="47">
        <f t="shared" si="19"/>
        <v>0</v>
      </c>
      <c r="P80" s="48">
        <f t="shared" si="20"/>
        <v>0</v>
      </c>
    </row>
    <row r="81" spans="1:22" ht="22.5" x14ac:dyDescent="0.2">
      <c r="A81" s="38">
        <v>10</v>
      </c>
      <c r="B81" s="39"/>
      <c r="C81" s="97" t="s">
        <v>69</v>
      </c>
      <c r="D81" s="25" t="s">
        <v>66</v>
      </c>
      <c r="E81" s="98">
        <f>E76*0.25</f>
        <v>67.25</v>
      </c>
      <c r="F81" s="65"/>
      <c r="G81" s="62"/>
      <c r="H81" s="47"/>
      <c r="I81" s="62"/>
      <c r="J81" s="62"/>
      <c r="K81" s="48">
        <f t="shared" si="15"/>
        <v>0</v>
      </c>
      <c r="L81" s="49">
        <f t="shared" si="16"/>
        <v>0</v>
      </c>
      <c r="M81" s="47">
        <f t="shared" si="17"/>
        <v>0</v>
      </c>
      <c r="N81" s="47">
        <f t="shared" si="18"/>
        <v>0</v>
      </c>
      <c r="O81" s="47">
        <f t="shared" si="19"/>
        <v>0</v>
      </c>
      <c r="P81" s="48">
        <f t="shared" si="20"/>
        <v>0</v>
      </c>
    </row>
    <row r="82" spans="1:22" ht="22.5" x14ac:dyDescent="0.2">
      <c r="A82" s="38">
        <v>11</v>
      </c>
      <c r="B82" s="39"/>
      <c r="C82" s="93" t="s">
        <v>189</v>
      </c>
      <c r="D82" s="25" t="s">
        <v>60</v>
      </c>
      <c r="E82" s="98">
        <v>198</v>
      </c>
      <c r="F82" s="65"/>
      <c r="G82" s="62"/>
      <c r="H82" s="47">
        <f t="shared" ref="H82" si="22">ROUND(F82*G82,2)</f>
        <v>0</v>
      </c>
      <c r="I82" s="62"/>
      <c r="J82" s="62"/>
      <c r="K82" s="48">
        <f t="shared" si="15"/>
        <v>0</v>
      </c>
      <c r="L82" s="49">
        <f t="shared" si="16"/>
        <v>0</v>
      </c>
      <c r="M82" s="47">
        <f t="shared" si="17"/>
        <v>0</v>
      </c>
      <c r="N82" s="47">
        <f t="shared" si="18"/>
        <v>0</v>
      </c>
      <c r="O82" s="47">
        <f t="shared" si="19"/>
        <v>0</v>
      </c>
      <c r="P82" s="48">
        <f t="shared" si="20"/>
        <v>0</v>
      </c>
    </row>
    <row r="83" spans="1:22" ht="22.5" x14ac:dyDescent="0.2">
      <c r="A83" s="38">
        <v>12</v>
      </c>
      <c r="B83" s="39"/>
      <c r="C83" s="97" t="s">
        <v>71</v>
      </c>
      <c r="D83" s="25" t="s">
        <v>66</v>
      </c>
      <c r="E83" s="98">
        <f>E82*4</f>
        <v>792</v>
      </c>
      <c r="F83" s="65"/>
      <c r="G83" s="62"/>
      <c r="H83" s="47"/>
      <c r="I83" s="62"/>
      <c r="J83" s="62"/>
      <c r="K83" s="48">
        <f t="shared" si="15"/>
        <v>0</v>
      </c>
      <c r="L83" s="49">
        <f t="shared" si="16"/>
        <v>0</v>
      </c>
      <c r="M83" s="47">
        <f t="shared" si="17"/>
        <v>0</v>
      </c>
      <c r="N83" s="47">
        <f t="shared" si="18"/>
        <v>0</v>
      </c>
      <c r="O83" s="47">
        <f t="shared" si="19"/>
        <v>0</v>
      </c>
      <c r="P83" s="48">
        <f t="shared" si="20"/>
        <v>0</v>
      </c>
    </row>
    <row r="84" spans="1:22" x14ac:dyDescent="0.2">
      <c r="A84" s="38">
        <v>13</v>
      </c>
      <c r="B84" s="39"/>
      <c r="C84" s="97" t="s">
        <v>72</v>
      </c>
      <c r="D84" s="25" t="s">
        <v>68</v>
      </c>
      <c r="E84" s="98">
        <v>1</v>
      </c>
      <c r="F84" s="65"/>
      <c r="G84" s="62"/>
      <c r="H84" s="47"/>
      <c r="I84" s="62"/>
      <c r="J84" s="62"/>
      <c r="K84" s="48">
        <f t="shared" si="15"/>
        <v>0</v>
      </c>
      <c r="L84" s="49">
        <f t="shared" si="16"/>
        <v>0</v>
      </c>
      <c r="M84" s="47">
        <f t="shared" si="17"/>
        <v>0</v>
      </c>
      <c r="N84" s="47">
        <f t="shared" si="18"/>
        <v>0</v>
      </c>
      <c r="O84" s="47">
        <f t="shared" si="19"/>
        <v>0</v>
      </c>
      <c r="P84" s="48">
        <f t="shared" si="20"/>
        <v>0</v>
      </c>
    </row>
    <row r="85" spans="1:22" ht="22.5" x14ac:dyDescent="0.2">
      <c r="A85" s="38">
        <v>14</v>
      </c>
      <c r="B85" s="39"/>
      <c r="C85" s="93" t="s">
        <v>190</v>
      </c>
      <c r="D85" s="25" t="s">
        <v>60</v>
      </c>
      <c r="E85" s="98">
        <f>E82</f>
        <v>198</v>
      </c>
      <c r="F85" s="65"/>
      <c r="G85" s="62"/>
      <c r="H85" s="47">
        <f t="shared" ref="H85" si="23">ROUND(F85*G85,2)</f>
        <v>0</v>
      </c>
      <c r="I85" s="62"/>
      <c r="J85" s="62"/>
      <c r="K85" s="48">
        <f t="shared" si="15"/>
        <v>0</v>
      </c>
      <c r="L85" s="49">
        <f t="shared" si="16"/>
        <v>0</v>
      </c>
      <c r="M85" s="47">
        <f t="shared" si="17"/>
        <v>0</v>
      </c>
      <c r="N85" s="47">
        <f t="shared" si="18"/>
        <v>0</v>
      </c>
      <c r="O85" s="47">
        <f t="shared" si="19"/>
        <v>0</v>
      </c>
      <c r="P85" s="48">
        <f t="shared" si="20"/>
        <v>0</v>
      </c>
    </row>
    <row r="86" spans="1:22" ht="22.5" x14ac:dyDescent="0.2">
      <c r="A86" s="38">
        <v>15</v>
      </c>
      <c r="B86" s="39"/>
      <c r="C86" s="97" t="s">
        <v>74</v>
      </c>
      <c r="D86" s="25" t="s">
        <v>75</v>
      </c>
      <c r="E86" s="98">
        <f>E85*0.45*1.2</f>
        <v>106.92</v>
      </c>
      <c r="F86" s="65"/>
      <c r="G86" s="62"/>
      <c r="H86" s="47"/>
      <c r="I86" s="62"/>
      <c r="J86" s="62"/>
      <c r="K86" s="48">
        <f t="shared" si="15"/>
        <v>0</v>
      </c>
      <c r="L86" s="49">
        <f t="shared" si="16"/>
        <v>0</v>
      </c>
      <c r="M86" s="47">
        <f t="shared" si="17"/>
        <v>0</v>
      </c>
      <c r="N86" s="47">
        <f t="shared" si="18"/>
        <v>0</v>
      </c>
      <c r="O86" s="47">
        <f t="shared" si="19"/>
        <v>0</v>
      </c>
      <c r="P86" s="48">
        <f t="shared" si="20"/>
        <v>0</v>
      </c>
    </row>
    <row r="87" spans="1:22" x14ac:dyDescent="0.2">
      <c r="A87" s="38">
        <v>16</v>
      </c>
      <c r="B87" s="39"/>
      <c r="C87" s="97" t="s">
        <v>72</v>
      </c>
      <c r="D87" s="25" t="s">
        <v>68</v>
      </c>
      <c r="E87" s="98">
        <v>1</v>
      </c>
      <c r="F87" s="65"/>
      <c r="G87" s="62"/>
      <c r="H87" s="47"/>
      <c r="I87" s="62"/>
      <c r="J87" s="62"/>
      <c r="K87" s="48">
        <f t="shared" si="15"/>
        <v>0</v>
      </c>
      <c r="L87" s="49">
        <f t="shared" si="16"/>
        <v>0</v>
      </c>
      <c r="M87" s="47">
        <f t="shared" si="17"/>
        <v>0</v>
      </c>
      <c r="N87" s="47">
        <f t="shared" si="18"/>
        <v>0</v>
      </c>
      <c r="O87" s="47">
        <f t="shared" si="19"/>
        <v>0</v>
      </c>
      <c r="P87" s="48">
        <f t="shared" si="20"/>
        <v>0</v>
      </c>
    </row>
    <row r="88" spans="1:22" x14ac:dyDescent="0.2">
      <c r="A88" s="94">
        <v>6</v>
      </c>
      <c r="B88" s="95"/>
      <c r="C88" s="96" t="s">
        <v>191</v>
      </c>
      <c r="D88" s="101"/>
      <c r="E88" s="102"/>
      <c r="F88" s="65"/>
      <c r="G88" s="62"/>
      <c r="H88" s="47"/>
      <c r="I88" s="62"/>
      <c r="J88" s="62"/>
      <c r="K88" s="48">
        <f t="shared" si="15"/>
        <v>0</v>
      </c>
      <c r="L88" s="49">
        <f t="shared" si="16"/>
        <v>0</v>
      </c>
      <c r="M88" s="47">
        <f t="shared" si="17"/>
        <v>0</v>
      </c>
      <c r="N88" s="47">
        <f t="shared" si="18"/>
        <v>0</v>
      </c>
      <c r="O88" s="47">
        <f t="shared" si="19"/>
        <v>0</v>
      </c>
      <c r="P88" s="106">
        <f t="shared" si="20"/>
        <v>0</v>
      </c>
    </row>
    <row r="89" spans="1:22" ht="22.5" x14ac:dyDescent="0.2">
      <c r="A89" s="38">
        <v>1</v>
      </c>
      <c r="B89" s="39"/>
      <c r="C89" s="93" t="s">
        <v>192</v>
      </c>
      <c r="D89" s="25" t="s">
        <v>60</v>
      </c>
      <c r="E89" s="98">
        <v>205</v>
      </c>
      <c r="F89" s="65"/>
      <c r="G89" s="62"/>
      <c r="H89" s="47">
        <f t="shared" ref="H89" si="24">ROUND(F89*G89,2)</f>
        <v>0</v>
      </c>
      <c r="I89" s="62"/>
      <c r="J89" s="62"/>
      <c r="K89" s="48">
        <f t="shared" si="15"/>
        <v>0</v>
      </c>
      <c r="L89" s="49">
        <f t="shared" si="16"/>
        <v>0</v>
      </c>
      <c r="M89" s="47">
        <f t="shared" si="17"/>
        <v>0</v>
      </c>
      <c r="N89" s="47">
        <f t="shared" si="18"/>
        <v>0</v>
      </c>
      <c r="O89" s="47">
        <f t="shared" si="19"/>
        <v>0</v>
      </c>
      <c r="P89" s="106">
        <f t="shared" si="20"/>
        <v>0</v>
      </c>
      <c r="R89" s="104"/>
      <c r="S89" s="159"/>
      <c r="T89" s="159"/>
      <c r="U89" s="159"/>
      <c r="V89" s="159"/>
    </row>
    <row r="90" spans="1:22" ht="22.5" x14ac:dyDescent="0.2">
      <c r="A90" s="38">
        <v>2</v>
      </c>
      <c r="B90" s="39"/>
      <c r="C90" s="97" t="s">
        <v>64</v>
      </c>
      <c r="D90" s="25" t="s">
        <v>60</v>
      </c>
      <c r="E90" s="98">
        <f>E89*1.25</f>
        <v>256.25</v>
      </c>
      <c r="F90" s="65"/>
      <c r="G90" s="62"/>
      <c r="H90" s="47"/>
      <c r="I90" s="62"/>
      <c r="J90" s="62"/>
      <c r="K90" s="48">
        <f t="shared" si="15"/>
        <v>0</v>
      </c>
      <c r="L90" s="49">
        <f t="shared" si="16"/>
        <v>0</v>
      </c>
      <c r="M90" s="47">
        <f t="shared" si="17"/>
        <v>0</v>
      </c>
      <c r="N90" s="47">
        <f t="shared" si="18"/>
        <v>0</v>
      </c>
      <c r="O90" s="47">
        <f t="shared" si="19"/>
        <v>0</v>
      </c>
      <c r="P90" s="106">
        <f t="shared" si="20"/>
        <v>0</v>
      </c>
      <c r="R90" s="104"/>
      <c r="S90" s="159"/>
      <c r="T90" s="159"/>
      <c r="U90" s="159"/>
      <c r="V90" s="159"/>
    </row>
    <row r="91" spans="1:22" x14ac:dyDescent="0.2">
      <c r="A91" s="38">
        <v>3</v>
      </c>
      <c r="B91" s="39"/>
      <c r="C91" s="97" t="s">
        <v>141</v>
      </c>
      <c r="D91" s="25" t="s">
        <v>66</v>
      </c>
      <c r="E91" s="98">
        <f>E89*5</f>
        <v>1025</v>
      </c>
      <c r="F91" s="65"/>
      <c r="G91" s="62"/>
      <c r="H91" s="47"/>
      <c r="I91" s="62"/>
      <c r="J91" s="62"/>
      <c r="K91" s="48">
        <f t="shared" si="15"/>
        <v>0</v>
      </c>
      <c r="L91" s="49">
        <f t="shared" si="16"/>
        <v>0</v>
      </c>
      <c r="M91" s="47">
        <f t="shared" si="17"/>
        <v>0</v>
      </c>
      <c r="N91" s="47">
        <f t="shared" si="18"/>
        <v>0</v>
      </c>
      <c r="O91" s="47">
        <f t="shared" si="19"/>
        <v>0</v>
      </c>
      <c r="P91" s="106">
        <f t="shared" si="20"/>
        <v>0</v>
      </c>
      <c r="R91" s="104"/>
    </row>
    <row r="92" spans="1:22" x14ac:dyDescent="0.2">
      <c r="A92" s="38">
        <v>4</v>
      </c>
      <c r="B92" s="39"/>
      <c r="C92" s="97" t="s">
        <v>67</v>
      </c>
      <c r="D92" s="25" t="s">
        <v>68</v>
      </c>
      <c r="E92" s="98">
        <v>1</v>
      </c>
      <c r="F92" s="65"/>
      <c r="G92" s="62"/>
      <c r="H92" s="47"/>
      <c r="I92" s="62"/>
      <c r="J92" s="62"/>
      <c r="K92" s="48">
        <f t="shared" si="15"/>
        <v>0</v>
      </c>
      <c r="L92" s="49">
        <f t="shared" si="16"/>
        <v>0</v>
      </c>
      <c r="M92" s="47">
        <f t="shared" si="17"/>
        <v>0</v>
      </c>
      <c r="N92" s="47">
        <f t="shared" si="18"/>
        <v>0</v>
      </c>
      <c r="O92" s="47">
        <f t="shared" si="19"/>
        <v>0</v>
      </c>
      <c r="P92" s="106">
        <f t="shared" si="20"/>
        <v>0</v>
      </c>
      <c r="R92" s="104"/>
    </row>
    <row r="93" spans="1:22" ht="22.5" x14ac:dyDescent="0.2">
      <c r="A93" s="38">
        <v>5</v>
      </c>
      <c r="B93" s="39"/>
      <c r="C93" s="97" t="s">
        <v>193</v>
      </c>
      <c r="D93" s="25" t="s">
        <v>66</v>
      </c>
      <c r="E93" s="98">
        <f>E89*0.25</f>
        <v>51.25</v>
      </c>
      <c r="F93" s="65"/>
      <c r="G93" s="62"/>
      <c r="H93" s="47"/>
      <c r="I93" s="62"/>
      <c r="J93" s="62"/>
      <c r="K93" s="48">
        <f t="shared" si="15"/>
        <v>0</v>
      </c>
      <c r="L93" s="49">
        <f t="shared" si="16"/>
        <v>0</v>
      </c>
      <c r="M93" s="47">
        <f t="shared" si="17"/>
        <v>0</v>
      </c>
      <c r="N93" s="47">
        <f t="shared" si="18"/>
        <v>0</v>
      </c>
      <c r="O93" s="47">
        <f t="shared" si="19"/>
        <v>0</v>
      </c>
      <c r="P93" s="106">
        <f t="shared" si="20"/>
        <v>0</v>
      </c>
      <c r="R93" s="104"/>
    </row>
    <row r="94" spans="1:22" ht="22.5" x14ac:dyDescent="0.2">
      <c r="A94" s="38">
        <v>6</v>
      </c>
      <c r="B94" s="39"/>
      <c r="C94" s="93" t="s">
        <v>194</v>
      </c>
      <c r="D94" s="25" t="s">
        <v>60</v>
      </c>
      <c r="E94" s="98">
        <f>E89</f>
        <v>205</v>
      </c>
      <c r="F94" s="65"/>
      <c r="G94" s="62"/>
      <c r="H94" s="47">
        <f t="shared" ref="H94" si="25">ROUND(F94*G94,2)</f>
        <v>0</v>
      </c>
      <c r="I94" s="62"/>
      <c r="J94" s="62"/>
      <c r="K94" s="48">
        <f t="shared" si="15"/>
        <v>0</v>
      </c>
      <c r="L94" s="49">
        <f t="shared" si="16"/>
        <v>0</v>
      </c>
      <c r="M94" s="47">
        <f t="shared" si="17"/>
        <v>0</v>
      </c>
      <c r="N94" s="47">
        <f t="shared" si="18"/>
        <v>0</v>
      </c>
      <c r="O94" s="47">
        <f t="shared" si="19"/>
        <v>0</v>
      </c>
      <c r="P94" s="106">
        <f t="shared" si="20"/>
        <v>0</v>
      </c>
      <c r="R94" s="104"/>
    </row>
    <row r="95" spans="1:22" ht="22.5" x14ac:dyDescent="0.2">
      <c r="A95" s="38">
        <v>7</v>
      </c>
      <c r="B95" s="39"/>
      <c r="C95" s="97" t="s">
        <v>71</v>
      </c>
      <c r="D95" s="25" t="s">
        <v>66</v>
      </c>
      <c r="E95" s="98">
        <f>E94*4</f>
        <v>820</v>
      </c>
      <c r="F95" s="65"/>
      <c r="G95" s="62"/>
      <c r="H95" s="47"/>
      <c r="I95" s="62"/>
      <c r="J95" s="62"/>
      <c r="K95" s="48">
        <f t="shared" si="15"/>
        <v>0</v>
      </c>
      <c r="L95" s="49">
        <f t="shared" si="16"/>
        <v>0</v>
      </c>
      <c r="M95" s="47">
        <f t="shared" si="17"/>
        <v>0</v>
      </c>
      <c r="N95" s="47">
        <f t="shared" si="18"/>
        <v>0</v>
      </c>
      <c r="O95" s="47">
        <f t="shared" si="19"/>
        <v>0</v>
      </c>
      <c r="P95" s="106">
        <f t="shared" si="20"/>
        <v>0</v>
      </c>
      <c r="R95" s="104"/>
    </row>
    <row r="96" spans="1:22" x14ac:dyDescent="0.2">
      <c r="A96" s="38">
        <v>8</v>
      </c>
      <c r="B96" s="39"/>
      <c r="C96" s="97" t="s">
        <v>72</v>
      </c>
      <c r="D96" s="25" t="s">
        <v>68</v>
      </c>
      <c r="E96" s="98">
        <v>1</v>
      </c>
      <c r="F96" s="65"/>
      <c r="G96" s="62"/>
      <c r="H96" s="47"/>
      <c r="I96" s="62"/>
      <c r="J96" s="62"/>
      <c r="K96" s="48">
        <f t="shared" si="15"/>
        <v>0</v>
      </c>
      <c r="L96" s="49">
        <f t="shared" si="16"/>
        <v>0</v>
      </c>
      <c r="M96" s="47">
        <f t="shared" si="17"/>
        <v>0</v>
      </c>
      <c r="N96" s="47">
        <f t="shared" si="18"/>
        <v>0</v>
      </c>
      <c r="O96" s="47">
        <f t="shared" si="19"/>
        <v>0</v>
      </c>
      <c r="P96" s="106">
        <f t="shared" si="20"/>
        <v>0</v>
      </c>
      <c r="R96" s="104"/>
    </row>
    <row r="97" spans="1:18" ht="22.5" x14ac:dyDescent="0.2">
      <c r="A97" s="38">
        <v>9</v>
      </c>
      <c r="B97" s="39"/>
      <c r="C97" s="93" t="s">
        <v>195</v>
      </c>
      <c r="D97" s="25" t="s">
        <v>60</v>
      </c>
      <c r="E97" s="98">
        <f>E94</f>
        <v>205</v>
      </c>
      <c r="F97" s="65"/>
      <c r="G97" s="62"/>
      <c r="H97" s="47">
        <f t="shared" ref="H97" si="26">ROUND(F97*G97,2)</f>
        <v>0</v>
      </c>
      <c r="I97" s="62"/>
      <c r="J97" s="62"/>
      <c r="K97" s="48">
        <f t="shared" si="15"/>
        <v>0</v>
      </c>
      <c r="L97" s="49">
        <f t="shared" si="16"/>
        <v>0</v>
      </c>
      <c r="M97" s="47">
        <f t="shared" si="17"/>
        <v>0</v>
      </c>
      <c r="N97" s="47">
        <f t="shared" si="18"/>
        <v>0</v>
      </c>
      <c r="O97" s="47">
        <f t="shared" si="19"/>
        <v>0</v>
      </c>
      <c r="P97" s="106">
        <f t="shared" si="20"/>
        <v>0</v>
      </c>
      <c r="R97" s="104"/>
    </row>
    <row r="98" spans="1:18" ht="22.5" x14ac:dyDescent="0.2">
      <c r="A98" s="38">
        <v>10</v>
      </c>
      <c r="B98" s="39"/>
      <c r="C98" s="97" t="s">
        <v>196</v>
      </c>
      <c r="D98" s="25" t="s">
        <v>75</v>
      </c>
      <c r="E98" s="98">
        <f>E97*0.45*1.2</f>
        <v>110.7</v>
      </c>
      <c r="F98" s="65"/>
      <c r="G98" s="62"/>
      <c r="H98" s="47"/>
      <c r="I98" s="62"/>
      <c r="J98" s="62"/>
      <c r="K98" s="48">
        <f t="shared" si="15"/>
        <v>0</v>
      </c>
      <c r="L98" s="49">
        <f t="shared" si="16"/>
        <v>0</v>
      </c>
      <c r="M98" s="47">
        <f t="shared" si="17"/>
        <v>0</v>
      </c>
      <c r="N98" s="47">
        <f t="shared" si="18"/>
        <v>0</v>
      </c>
      <c r="O98" s="47">
        <f t="shared" si="19"/>
        <v>0</v>
      </c>
      <c r="P98" s="106">
        <f t="shared" si="20"/>
        <v>0</v>
      </c>
      <c r="R98" s="104"/>
    </row>
    <row r="99" spans="1:18" x14ac:dyDescent="0.2">
      <c r="A99" s="38">
        <v>11</v>
      </c>
      <c r="B99" s="39"/>
      <c r="C99" s="97" t="s">
        <v>72</v>
      </c>
      <c r="D99" s="25" t="s">
        <v>68</v>
      </c>
      <c r="E99" s="98">
        <v>1</v>
      </c>
      <c r="F99" s="65"/>
      <c r="G99" s="62"/>
      <c r="H99" s="47"/>
      <c r="I99" s="62"/>
      <c r="J99" s="62"/>
      <c r="K99" s="48">
        <f t="shared" si="15"/>
        <v>0</v>
      </c>
      <c r="L99" s="49">
        <f t="shared" si="16"/>
        <v>0</v>
      </c>
      <c r="M99" s="47">
        <f t="shared" si="17"/>
        <v>0</v>
      </c>
      <c r="N99" s="47">
        <f t="shared" si="18"/>
        <v>0</v>
      </c>
      <c r="O99" s="47">
        <f t="shared" si="19"/>
        <v>0</v>
      </c>
      <c r="P99" s="106">
        <f t="shared" si="20"/>
        <v>0</v>
      </c>
      <c r="R99" s="104"/>
    </row>
    <row r="100" spans="1:18" x14ac:dyDescent="0.2">
      <c r="A100" s="94">
        <v>7</v>
      </c>
      <c r="B100" s="95"/>
      <c r="C100" s="96" t="s">
        <v>197</v>
      </c>
      <c r="D100" s="25"/>
      <c r="E100" s="98"/>
      <c r="F100" s="65"/>
      <c r="G100" s="62"/>
      <c r="H100" s="47"/>
      <c r="I100" s="62"/>
      <c r="J100" s="62"/>
      <c r="K100" s="48">
        <f t="shared" si="15"/>
        <v>0</v>
      </c>
      <c r="L100" s="49">
        <f t="shared" si="16"/>
        <v>0</v>
      </c>
      <c r="M100" s="47">
        <f t="shared" si="17"/>
        <v>0</v>
      </c>
      <c r="N100" s="47">
        <f t="shared" si="18"/>
        <v>0</v>
      </c>
      <c r="O100" s="47">
        <f t="shared" si="19"/>
        <v>0</v>
      </c>
      <c r="P100" s="48">
        <f t="shared" si="20"/>
        <v>0</v>
      </c>
    </row>
    <row r="101" spans="1:18" ht="22.5" x14ac:dyDescent="0.2">
      <c r="A101" s="38">
        <v>1</v>
      </c>
      <c r="B101" s="39"/>
      <c r="C101" s="93" t="s">
        <v>198</v>
      </c>
      <c r="D101" s="25" t="s">
        <v>104</v>
      </c>
      <c r="E101" s="98">
        <f>0.85*(172.42-2.72*3)</f>
        <v>139.62</v>
      </c>
      <c r="F101" s="65"/>
      <c r="G101" s="62"/>
      <c r="H101" s="47">
        <f t="shared" ref="H101:H110" si="27">ROUND(F101*G101,2)</f>
        <v>0</v>
      </c>
      <c r="I101" s="62"/>
      <c r="J101" s="62"/>
      <c r="K101" s="48">
        <f t="shared" si="15"/>
        <v>0</v>
      </c>
      <c r="L101" s="49">
        <f t="shared" si="16"/>
        <v>0</v>
      </c>
      <c r="M101" s="47">
        <f t="shared" si="17"/>
        <v>0</v>
      </c>
      <c r="N101" s="47">
        <f t="shared" si="18"/>
        <v>0</v>
      </c>
      <c r="O101" s="47">
        <f t="shared" si="19"/>
        <v>0</v>
      </c>
      <c r="P101" s="48">
        <f t="shared" si="20"/>
        <v>0</v>
      </c>
    </row>
    <row r="102" spans="1:18" ht="22.5" x14ac:dyDescent="0.2">
      <c r="A102" s="38">
        <v>2</v>
      </c>
      <c r="B102" s="39"/>
      <c r="C102" s="97" t="s">
        <v>199</v>
      </c>
      <c r="D102" s="25" t="s">
        <v>104</v>
      </c>
      <c r="E102" s="98">
        <f>E101*1.2</f>
        <v>167.54</v>
      </c>
      <c r="F102" s="65"/>
      <c r="G102" s="62"/>
      <c r="H102" s="47"/>
      <c r="I102" s="62"/>
      <c r="J102" s="62"/>
      <c r="K102" s="48">
        <f t="shared" si="15"/>
        <v>0</v>
      </c>
      <c r="L102" s="49">
        <f t="shared" si="16"/>
        <v>0</v>
      </c>
      <c r="M102" s="47">
        <f t="shared" si="17"/>
        <v>0</v>
      </c>
      <c r="N102" s="47">
        <f t="shared" si="18"/>
        <v>0</v>
      </c>
      <c r="O102" s="47">
        <f t="shared" si="19"/>
        <v>0</v>
      </c>
      <c r="P102" s="48">
        <f t="shared" si="20"/>
        <v>0</v>
      </c>
    </row>
    <row r="103" spans="1:18" ht="33.75" x14ac:dyDescent="0.2">
      <c r="A103" s="38">
        <v>3</v>
      </c>
      <c r="B103" s="39"/>
      <c r="C103" s="93" t="s">
        <v>200</v>
      </c>
      <c r="D103" s="25" t="s">
        <v>104</v>
      </c>
      <c r="E103" s="98">
        <f>(172.42-2.72*3)*0.09</f>
        <v>14.78</v>
      </c>
      <c r="F103" s="65"/>
      <c r="G103" s="62"/>
      <c r="H103" s="47">
        <f t="shared" si="27"/>
        <v>0</v>
      </c>
      <c r="I103" s="62"/>
      <c r="J103" s="62"/>
      <c r="K103" s="48">
        <f t="shared" si="15"/>
        <v>0</v>
      </c>
      <c r="L103" s="49">
        <f t="shared" si="16"/>
        <v>0</v>
      </c>
      <c r="M103" s="47">
        <f t="shared" si="17"/>
        <v>0</v>
      </c>
      <c r="N103" s="47">
        <f t="shared" si="18"/>
        <v>0</v>
      </c>
      <c r="O103" s="47">
        <f t="shared" si="19"/>
        <v>0</v>
      </c>
      <c r="P103" s="48">
        <f t="shared" si="20"/>
        <v>0</v>
      </c>
    </row>
    <row r="104" spans="1:18" ht="22.5" x14ac:dyDescent="0.2">
      <c r="A104" s="38">
        <v>4</v>
      </c>
      <c r="B104" s="39"/>
      <c r="C104" s="97" t="s">
        <v>201</v>
      </c>
      <c r="D104" s="25" t="s">
        <v>104</v>
      </c>
      <c r="E104" s="98">
        <f>(172.42-2.72*3)*0.06*1.2</f>
        <v>11.83</v>
      </c>
      <c r="F104" s="65"/>
      <c r="G104" s="62"/>
      <c r="H104" s="47"/>
      <c r="I104" s="62"/>
      <c r="J104" s="62"/>
      <c r="K104" s="48">
        <f t="shared" si="15"/>
        <v>0</v>
      </c>
      <c r="L104" s="49">
        <f t="shared" si="16"/>
        <v>0</v>
      </c>
      <c r="M104" s="47">
        <f t="shared" si="17"/>
        <v>0</v>
      </c>
      <c r="N104" s="47">
        <f t="shared" si="18"/>
        <v>0</v>
      </c>
      <c r="O104" s="47">
        <f t="shared" si="19"/>
        <v>0</v>
      </c>
      <c r="P104" s="48">
        <f t="shared" si="20"/>
        <v>0</v>
      </c>
    </row>
    <row r="105" spans="1:18" ht="22.5" x14ac:dyDescent="0.2">
      <c r="A105" s="38">
        <v>5</v>
      </c>
      <c r="B105" s="39"/>
      <c r="C105" s="97" t="s">
        <v>202</v>
      </c>
      <c r="D105" s="25" t="s">
        <v>104</v>
      </c>
      <c r="E105" s="98">
        <f>(172.42-2.72*3)*0.03*1.2</f>
        <v>5.91</v>
      </c>
      <c r="F105" s="65"/>
      <c r="G105" s="62"/>
      <c r="H105" s="47"/>
      <c r="I105" s="62"/>
      <c r="J105" s="62"/>
      <c r="K105" s="48">
        <f t="shared" si="15"/>
        <v>0</v>
      </c>
      <c r="L105" s="49">
        <f t="shared" si="16"/>
        <v>0</v>
      </c>
      <c r="M105" s="47">
        <f t="shared" si="17"/>
        <v>0</v>
      </c>
      <c r="N105" s="47">
        <f t="shared" si="18"/>
        <v>0</v>
      </c>
      <c r="O105" s="47">
        <f t="shared" si="19"/>
        <v>0</v>
      </c>
      <c r="P105" s="48">
        <f t="shared" si="20"/>
        <v>0</v>
      </c>
    </row>
    <row r="106" spans="1:18" ht="22.5" x14ac:dyDescent="0.2">
      <c r="A106" s="38">
        <v>6</v>
      </c>
      <c r="B106" s="39"/>
      <c r="C106" s="93" t="s">
        <v>203</v>
      </c>
      <c r="D106" s="25" t="s">
        <v>104</v>
      </c>
      <c r="E106" s="98">
        <f>(172.42-2.72*3)*0.03</f>
        <v>4.93</v>
      </c>
      <c r="F106" s="65"/>
      <c r="G106" s="62"/>
      <c r="H106" s="47">
        <f t="shared" si="27"/>
        <v>0</v>
      </c>
      <c r="I106" s="62"/>
      <c r="J106" s="62"/>
      <c r="K106" s="48">
        <f t="shared" si="15"/>
        <v>0</v>
      </c>
      <c r="L106" s="49">
        <f t="shared" si="16"/>
        <v>0</v>
      </c>
      <c r="M106" s="47">
        <f t="shared" si="17"/>
        <v>0</v>
      </c>
      <c r="N106" s="47">
        <f t="shared" si="18"/>
        <v>0</v>
      </c>
      <c r="O106" s="47">
        <f t="shared" si="19"/>
        <v>0</v>
      </c>
      <c r="P106" s="48">
        <f t="shared" si="20"/>
        <v>0</v>
      </c>
    </row>
    <row r="107" spans="1:18" x14ac:dyDescent="0.2">
      <c r="A107" s="38">
        <v>7</v>
      </c>
      <c r="B107" s="39"/>
      <c r="C107" s="97" t="s">
        <v>204</v>
      </c>
      <c r="D107" s="25" t="s">
        <v>104</v>
      </c>
      <c r="E107" s="98">
        <f>E106*1.2</f>
        <v>5.92</v>
      </c>
      <c r="F107" s="65"/>
      <c r="G107" s="62"/>
      <c r="H107" s="47"/>
      <c r="I107" s="62"/>
      <c r="J107" s="62"/>
      <c r="K107" s="48">
        <f t="shared" si="15"/>
        <v>0</v>
      </c>
      <c r="L107" s="49">
        <f t="shared" si="16"/>
        <v>0</v>
      </c>
      <c r="M107" s="47">
        <f t="shared" si="17"/>
        <v>0</v>
      </c>
      <c r="N107" s="47">
        <f t="shared" si="18"/>
        <v>0</v>
      </c>
      <c r="O107" s="47">
        <f t="shared" si="19"/>
        <v>0</v>
      </c>
      <c r="P107" s="48">
        <f t="shared" si="20"/>
        <v>0</v>
      </c>
    </row>
    <row r="108" spans="1:18" x14ac:dyDescent="0.2">
      <c r="A108" s="38">
        <v>8</v>
      </c>
      <c r="B108" s="39"/>
      <c r="C108" s="93" t="s">
        <v>205</v>
      </c>
      <c r="D108" s="25" t="s">
        <v>60</v>
      </c>
      <c r="E108" s="98">
        <v>105.1</v>
      </c>
      <c r="F108" s="65"/>
      <c r="G108" s="62"/>
      <c r="H108" s="47">
        <f t="shared" si="27"/>
        <v>0</v>
      </c>
      <c r="I108" s="62"/>
      <c r="J108" s="62"/>
      <c r="K108" s="48">
        <f t="shared" si="15"/>
        <v>0</v>
      </c>
      <c r="L108" s="49">
        <f t="shared" si="16"/>
        <v>0</v>
      </c>
      <c r="M108" s="47">
        <f t="shared" si="17"/>
        <v>0</v>
      </c>
      <c r="N108" s="47">
        <f t="shared" si="18"/>
        <v>0</v>
      </c>
      <c r="O108" s="47">
        <f t="shared" si="19"/>
        <v>0</v>
      </c>
      <c r="P108" s="48">
        <f t="shared" si="20"/>
        <v>0</v>
      </c>
      <c r="Q108" s="103"/>
      <c r="R108" s="105"/>
    </row>
    <row r="109" spans="1:18" x14ac:dyDescent="0.2">
      <c r="A109" s="38">
        <v>9</v>
      </c>
      <c r="B109" s="39"/>
      <c r="C109" s="97" t="s">
        <v>206</v>
      </c>
      <c r="D109" s="25" t="s">
        <v>60</v>
      </c>
      <c r="E109" s="98">
        <f>E108*1.1</f>
        <v>115.61</v>
      </c>
      <c r="F109" s="65"/>
      <c r="G109" s="62"/>
      <c r="H109" s="47"/>
      <c r="I109" s="62"/>
      <c r="J109" s="62"/>
      <c r="K109" s="48">
        <f t="shared" si="15"/>
        <v>0</v>
      </c>
      <c r="L109" s="49">
        <f t="shared" si="16"/>
        <v>0</v>
      </c>
      <c r="M109" s="47">
        <f t="shared" si="17"/>
        <v>0</v>
      </c>
      <c r="N109" s="47">
        <f t="shared" si="18"/>
        <v>0</v>
      </c>
      <c r="O109" s="47">
        <f t="shared" si="19"/>
        <v>0</v>
      </c>
      <c r="P109" s="48">
        <f t="shared" si="20"/>
        <v>0</v>
      </c>
      <c r="Q109" s="104"/>
      <c r="R109" s="105"/>
    </row>
    <row r="110" spans="1:18" ht="22.5" x14ac:dyDescent="0.2">
      <c r="A110" s="38">
        <v>10</v>
      </c>
      <c r="B110" s="39"/>
      <c r="C110" s="93" t="s">
        <v>207</v>
      </c>
      <c r="D110" s="25" t="s">
        <v>82</v>
      </c>
      <c r="E110" s="98">
        <f>(177.8-2.72*3)</f>
        <v>169.64</v>
      </c>
      <c r="F110" s="65"/>
      <c r="G110" s="62"/>
      <c r="H110" s="47">
        <f t="shared" si="27"/>
        <v>0</v>
      </c>
      <c r="I110" s="62"/>
      <c r="J110" s="62"/>
      <c r="K110" s="48">
        <f t="shared" si="15"/>
        <v>0</v>
      </c>
      <c r="L110" s="49">
        <f t="shared" si="16"/>
        <v>0</v>
      </c>
      <c r="M110" s="47">
        <f t="shared" si="17"/>
        <v>0</v>
      </c>
      <c r="N110" s="47">
        <f t="shared" si="18"/>
        <v>0</v>
      </c>
      <c r="O110" s="47">
        <f t="shared" si="19"/>
        <v>0</v>
      </c>
      <c r="P110" s="48">
        <f t="shared" si="20"/>
        <v>0</v>
      </c>
    </row>
    <row r="111" spans="1:18" x14ac:dyDescent="0.2">
      <c r="A111" s="38">
        <v>11</v>
      </c>
      <c r="B111" s="39"/>
      <c r="C111" s="97" t="s">
        <v>208</v>
      </c>
      <c r="D111" s="25" t="s">
        <v>104</v>
      </c>
      <c r="E111" s="98">
        <f>E110*0.04</f>
        <v>6.79</v>
      </c>
      <c r="F111" s="65"/>
      <c r="G111" s="62"/>
      <c r="H111" s="47"/>
      <c r="I111" s="62"/>
      <c r="J111" s="62"/>
      <c r="K111" s="48">
        <f t="shared" si="15"/>
        <v>0</v>
      </c>
      <c r="L111" s="49">
        <f t="shared" si="16"/>
        <v>0</v>
      </c>
      <c r="M111" s="47">
        <f t="shared" si="17"/>
        <v>0</v>
      </c>
      <c r="N111" s="47">
        <f t="shared" si="18"/>
        <v>0</v>
      </c>
      <c r="O111" s="47">
        <f t="shared" si="19"/>
        <v>0</v>
      </c>
      <c r="P111" s="48">
        <f t="shared" si="20"/>
        <v>0</v>
      </c>
    </row>
    <row r="112" spans="1:18" x14ac:dyDescent="0.2">
      <c r="A112" s="38">
        <v>12</v>
      </c>
      <c r="B112" s="39"/>
      <c r="C112" s="97" t="s">
        <v>209</v>
      </c>
      <c r="D112" s="25" t="s">
        <v>82</v>
      </c>
      <c r="E112" s="98">
        <f>E110*1.1</f>
        <v>186.6</v>
      </c>
      <c r="F112" s="65"/>
      <c r="G112" s="62"/>
      <c r="H112" s="47"/>
      <c r="I112" s="62"/>
      <c r="J112" s="62"/>
      <c r="K112" s="48">
        <f t="shared" si="15"/>
        <v>0</v>
      </c>
      <c r="L112" s="49">
        <f t="shared" si="16"/>
        <v>0</v>
      </c>
      <c r="M112" s="47">
        <f t="shared" si="17"/>
        <v>0</v>
      </c>
      <c r="N112" s="47">
        <f t="shared" si="18"/>
        <v>0</v>
      </c>
      <c r="O112" s="47">
        <f t="shared" si="19"/>
        <v>0</v>
      </c>
      <c r="P112" s="48">
        <f t="shared" si="20"/>
        <v>0</v>
      </c>
    </row>
    <row r="113" spans="1:16" x14ac:dyDescent="0.2">
      <c r="A113" s="94">
        <v>8</v>
      </c>
      <c r="B113" s="95"/>
      <c r="C113" s="96" t="s">
        <v>210</v>
      </c>
      <c r="D113" s="25"/>
      <c r="E113" s="98"/>
      <c r="F113" s="65"/>
      <c r="G113" s="62"/>
      <c r="H113" s="47"/>
      <c r="I113" s="62"/>
      <c r="J113" s="62"/>
      <c r="K113" s="48">
        <f t="shared" si="15"/>
        <v>0</v>
      </c>
      <c r="L113" s="49">
        <f t="shared" si="16"/>
        <v>0</v>
      </c>
      <c r="M113" s="47">
        <f t="shared" si="17"/>
        <v>0</v>
      </c>
      <c r="N113" s="47">
        <f t="shared" si="18"/>
        <v>0</v>
      </c>
      <c r="O113" s="47">
        <f t="shared" si="19"/>
        <v>0</v>
      </c>
      <c r="P113" s="48">
        <f t="shared" si="20"/>
        <v>0</v>
      </c>
    </row>
    <row r="114" spans="1:16" ht="33.75" x14ac:dyDescent="0.2">
      <c r="A114" s="38">
        <v>1</v>
      </c>
      <c r="B114" s="39"/>
      <c r="C114" s="93" t="s">
        <v>211</v>
      </c>
      <c r="D114" s="25" t="s">
        <v>60</v>
      </c>
      <c r="E114" s="98">
        <f>(5.94*9*4)*1</f>
        <v>213.84</v>
      </c>
      <c r="F114" s="65"/>
      <c r="G114" s="62"/>
      <c r="H114" s="47">
        <f t="shared" ref="H114:H116" si="28">ROUND(F114*G114,2)</f>
        <v>0</v>
      </c>
      <c r="I114" s="62"/>
      <c r="J114" s="62"/>
      <c r="K114" s="48">
        <f t="shared" si="15"/>
        <v>0</v>
      </c>
      <c r="L114" s="49">
        <f t="shared" si="16"/>
        <v>0</v>
      </c>
      <c r="M114" s="47">
        <f t="shared" si="17"/>
        <v>0</v>
      </c>
      <c r="N114" s="47">
        <f t="shared" si="18"/>
        <v>0</v>
      </c>
      <c r="O114" s="47">
        <f t="shared" si="19"/>
        <v>0</v>
      </c>
      <c r="P114" s="48">
        <f t="shared" si="20"/>
        <v>0</v>
      </c>
    </row>
    <row r="115" spans="1:16" ht="33.75" x14ac:dyDescent="0.2">
      <c r="A115" s="38">
        <v>2</v>
      </c>
      <c r="B115" s="39"/>
      <c r="C115" s="93" t="s">
        <v>212</v>
      </c>
      <c r="D115" s="25" t="s">
        <v>60</v>
      </c>
      <c r="E115" s="98">
        <f>E114</f>
        <v>213.84</v>
      </c>
      <c r="F115" s="65"/>
      <c r="G115" s="62"/>
      <c r="H115" s="47">
        <f t="shared" si="28"/>
        <v>0</v>
      </c>
      <c r="I115" s="62"/>
      <c r="J115" s="62"/>
      <c r="K115" s="48">
        <f t="shared" si="15"/>
        <v>0</v>
      </c>
      <c r="L115" s="49">
        <f t="shared" si="16"/>
        <v>0</v>
      </c>
      <c r="M115" s="47">
        <f t="shared" si="17"/>
        <v>0</v>
      </c>
      <c r="N115" s="47">
        <f t="shared" si="18"/>
        <v>0</v>
      </c>
      <c r="O115" s="47">
        <f t="shared" si="19"/>
        <v>0</v>
      </c>
      <c r="P115" s="48">
        <f t="shared" si="20"/>
        <v>0</v>
      </c>
    </row>
    <row r="116" spans="1:16" x14ac:dyDescent="0.2">
      <c r="A116" s="38">
        <v>3</v>
      </c>
      <c r="B116" s="39"/>
      <c r="C116" s="93" t="s">
        <v>213</v>
      </c>
      <c r="D116" s="25" t="s">
        <v>104</v>
      </c>
      <c r="E116" s="98">
        <f>(5.94*9*4)*3*0.025*0.1</f>
        <v>1.6</v>
      </c>
      <c r="F116" s="65"/>
      <c r="G116" s="62"/>
      <c r="H116" s="47">
        <f t="shared" si="28"/>
        <v>0</v>
      </c>
      <c r="I116" s="62"/>
      <c r="J116" s="62"/>
      <c r="K116" s="48">
        <f t="shared" si="15"/>
        <v>0</v>
      </c>
      <c r="L116" s="49">
        <f t="shared" si="16"/>
        <v>0</v>
      </c>
      <c r="M116" s="47">
        <f t="shared" si="17"/>
        <v>0</v>
      </c>
      <c r="N116" s="47">
        <f t="shared" si="18"/>
        <v>0</v>
      </c>
      <c r="O116" s="47">
        <f t="shared" si="19"/>
        <v>0</v>
      </c>
      <c r="P116" s="48">
        <f t="shared" si="20"/>
        <v>0</v>
      </c>
    </row>
    <row r="117" spans="1:16" x14ac:dyDescent="0.2">
      <c r="A117" s="38">
        <v>4</v>
      </c>
      <c r="B117" s="39"/>
      <c r="C117" s="97" t="s">
        <v>214</v>
      </c>
      <c r="D117" s="25" t="s">
        <v>104</v>
      </c>
      <c r="E117" s="98">
        <f>E116*1.1</f>
        <v>1.76</v>
      </c>
      <c r="F117" s="65"/>
      <c r="G117" s="62"/>
      <c r="H117" s="47"/>
      <c r="I117" s="62"/>
      <c r="J117" s="62"/>
      <c r="K117" s="48">
        <f t="shared" si="15"/>
        <v>0</v>
      </c>
      <c r="L117" s="49">
        <f t="shared" si="16"/>
        <v>0</v>
      </c>
      <c r="M117" s="47">
        <f t="shared" si="17"/>
        <v>0</v>
      </c>
      <c r="N117" s="47">
        <f t="shared" si="18"/>
        <v>0</v>
      </c>
      <c r="O117" s="47">
        <f t="shared" si="19"/>
        <v>0</v>
      </c>
      <c r="P117" s="48">
        <f t="shared" si="20"/>
        <v>0</v>
      </c>
    </row>
    <row r="118" spans="1:16" x14ac:dyDescent="0.2">
      <c r="A118" s="38">
        <v>5</v>
      </c>
      <c r="B118" s="39"/>
      <c r="C118" s="97" t="s">
        <v>84</v>
      </c>
      <c r="D118" s="25" t="s">
        <v>68</v>
      </c>
      <c r="E118" s="98">
        <v>1</v>
      </c>
      <c r="F118" s="65"/>
      <c r="G118" s="62"/>
      <c r="H118" s="47"/>
      <c r="I118" s="62"/>
      <c r="J118" s="62"/>
      <c r="K118" s="48">
        <f t="shared" si="15"/>
        <v>0</v>
      </c>
      <c r="L118" s="49">
        <f t="shared" si="16"/>
        <v>0</v>
      </c>
      <c r="M118" s="47">
        <f t="shared" si="17"/>
        <v>0</v>
      </c>
      <c r="N118" s="47">
        <f t="shared" si="18"/>
        <v>0</v>
      </c>
      <c r="O118" s="47">
        <f t="shared" si="19"/>
        <v>0</v>
      </c>
      <c r="P118" s="48">
        <f t="shared" si="20"/>
        <v>0</v>
      </c>
    </row>
    <row r="119" spans="1:16" ht="22.5" x14ac:dyDescent="0.2">
      <c r="A119" s="38">
        <v>6</v>
      </c>
      <c r="B119" s="39"/>
      <c r="C119" s="93" t="s">
        <v>215</v>
      </c>
      <c r="D119" s="25" t="s">
        <v>60</v>
      </c>
      <c r="E119" s="98">
        <f>E114</f>
        <v>213.84</v>
      </c>
      <c r="F119" s="65"/>
      <c r="G119" s="62"/>
      <c r="H119" s="47">
        <f t="shared" ref="H119" si="29">ROUND(F119*G119,2)</f>
        <v>0</v>
      </c>
      <c r="I119" s="62"/>
      <c r="J119" s="62"/>
      <c r="K119" s="48">
        <f t="shared" si="15"/>
        <v>0</v>
      </c>
      <c r="L119" s="49">
        <f t="shared" si="16"/>
        <v>0</v>
      </c>
      <c r="M119" s="47">
        <f t="shared" si="17"/>
        <v>0</v>
      </c>
      <c r="N119" s="47">
        <f t="shared" si="18"/>
        <v>0</v>
      </c>
      <c r="O119" s="47">
        <f t="shared" si="19"/>
        <v>0</v>
      </c>
      <c r="P119" s="48">
        <f t="shared" si="20"/>
        <v>0</v>
      </c>
    </row>
    <row r="120" spans="1:16" x14ac:dyDescent="0.2">
      <c r="A120" s="38">
        <v>7</v>
      </c>
      <c r="B120" s="39"/>
      <c r="C120" s="97" t="s">
        <v>216</v>
      </c>
      <c r="D120" s="25" t="s">
        <v>60</v>
      </c>
      <c r="E120" s="98">
        <f>E119*1.1</f>
        <v>235.22</v>
      </c>
      <c r="F120" s="65"/>
      <c r="G120" s="62"/>
      <c r="H120" s="47"/>
      <c r="I120" s="62"/>
      <c r="J120" s="62"/>
      <c r="K120" s="48">
        <f t="shared" si="15"/>
        <v>0</v>
      </c>
      <c r="L120" s="49">
        <f t="shared" si="16"/>
        <v>0</v>
      </c>
      <c r="M120" s="47">
        <f t="shared" si="17"/>
        <v>0</v>
      </c>
      <c r="N120" s="47">
        <f t="shared" si="18"/>
        <v>0</v>
      </c>
      <c r="O120" s="47">
        <f t="shared" si="19"/>
        <v>0</v>
      </c>
      <c r="P120" s="48">
        <f t="shared" si="20"/>
        <v>0</v>
      </c>
    </row>
    <row r="121" spans="1:16" x14ac:dyDescent="0.2">
      <c r="A121" s="38">
        <v>8</v>
      </c>
      <c r="B121" s="39"/>
      <c r="C121" s="97" t="s">
        <v>84</v>
      </c>
      <c r="D121" s="25" t="s">
        <v>68</v>
      </c>
      <c r="E121" s="98">
        <v>1</v>
      </c>
      <c r="F121" s="65"/>
      <c r="G121" s="62"/>
      <c r="H121" s="47"/>
      <c r="I121" s="62"/>
      <c r="J121" s="62"/>
      <c r="K121" s="48">
        <f t="shared" si="15"/>
        <v>0</v>
      </c>
      <c r="L121" s="49">
        <f t="shared" si="16"/>
        <v>0</v>
      </c>
      <c r="M121" s="47">
        <f t="shared" si="17"/>
        <v>0</v>
      </c>
      <c r="N121" s="47">
        <f t="shared" si="18"/>
        <v>0</v>
      </c>
      <c r="O121" s="47">
        <f t="shared" si="19"/>
        <v>0</v>
      </c>
      <c r="P121" s="48">
        <f t="shared" si="20"/>
        <v>0</v>
      </c>
    </row>
    <row r="122" spans="1:16" ht="22.5" x14ac:dyDescent="0.2">
      <c r="A122" s="38">
        <v>9</v>
      </c>
      <c r="B122" s="39"/>
      <c r="C122" s="93" t="s">
        <v>217</v>
      </c>
      <c r="D122" s="25" t="s">
        <v>82</v>
      </c>
      <c r="E122" s="98">
        <f>(5.94*9*4)</f>
        <v>213.84</v>
      </c>
      <c r="F122" s="65"/>
      <c r="G122" s="62"/>
      <c r="H122" s="47">
        <f t="shared" ref="H122" si="30">ROUND(F122*G122,2)</f>
        <v>0</v>
      </c>
      <c r="I122" s="62"/>
      <c r="J122" s="62"/>
      <c r="K122" s="48">
        <f t="shared" si="15"/>
        <v>0</v>
      </c>
      <c r="L122" s="49">
        <f t="shared" si="16"/>
        <v>0</v>
      </c>
      <c r="M122" s="47">
        <f t="shared" si="17"/>
        <v>0</v>
      </c>
      <c r="N122" s="47">
        <f t="shared" si="18"/>
        <v>0</v>
      </c>
      <c r="O122" s="47">
        <f t="shared" si="19"/>
        <v>0</v>
      </c>
      <c r="P122" s="48">
        <f t="shared" si="20"/>
        <v>0</v>
      </c>
    </row>
    <row r="123" spans="1:16" x14ac:dyDescent="0.2">
      <c r="A123" s="38">
        <v>10</v>
      </c>
      <c r="B123" s="39"/>
      <c r="C123" s="97" t="s">
        <v>83</v>
      </c>
      <c r="D123" s="25" t="s">
        <v>82</v>
      </c>
      <c r="E123" s="98">
        <f>E122*1.15</f>
        <v>245.92</v>
      </c>
      <c r="F123" s="65"/>
      <c r="G123" s="62"/>
      <c r="H123" s="47"/>
      <c r="I123" s="62"/>
      <c r="J123" s="62"/>
      <c r="K123" s="48">
        <f t="shared" si="15"/>
        <v>0</v>
      </c>
      <c r="L123" s="49">
        <f t="shared" si="16"/>
        <v>0</v>
      </c>
      <c r="M123" s="47">
        <f t="shared" si="17"/>
        <v>0</v>
      </c>
      <c r="N123" s="47">
        <f t="shared" si="18"/>
        <v>0</v>
      </c>
      <c r="O123" s="47">
        <f t="shared" si="19"/>
        <v>0</v>
      </c>
      <c r="P123" s="48">
        <f t="shared" si="20"/>
        <v>0</v>
      </c>
    </row>
    <row r="124" spans="1:16" x14ac:dyDescent="0.2">
      <c r="A124" s="38">
        <v>11</v>
      </c>
      <c r="B124" s="39"/>
      <c r="C124" s="97" t="s">
        <v>84</v>
      </c>
      <c r="D124" s="25" t="s">
        <v>85</v>
      </c>
      <c r="E124" s="98">
        <v>1</v>
      </c>
      <c r="F124" s="65"/>
      <c r="G124" s="62"/>
      <c r="H124" s="47"/>
      <c r="I124" s="62"/>
      <c r="J124" s="62"/>
      <c r="K124" s="48">
        <f t="shared" si="15"/>
        <v>0</v>
      </c>
      <c r="L124" s="49">
        <f t="shared" si="16"/>
        <v>0</v>
      </c>
      <c r="M124" s="47">
        <f t="shared" si="17"/>
        <v>0</v>
      </c>
      <c r="N124" s="47">
        <f t="shared" si="18"/>
        <v>0</v>
      </c>
      <c r="O124" s="47">
        <f t="shared" si="19"/>
        <v>0</v>
      </c>
      <c r="P124" s="48">
        <f t="shared" si="20"/>
        <v>0</v>
      </c>
    </row>
    <row r="125" spans="1:16" x14ac:dyDescent="0.2">
      <c r="A125" s="38">
        <v>12</v>
      </c>
      <c r="B125" s="39"/>
      <c r="C125" s="93" t="s">
        <v>218</v>
      </c>
      <c r="D125" s="25" t="s">
        <v>82</v>
      </c>
      <c r="E125" s="98">
        <v>284</v>
      </c>
      <c r="F125" s="65"/>
      <c r="G125" s="62"/>
      <c r="H125" s="47"/>
      <c r="I125" s="62"/>
      <c r="J125" s="62"/>
      <c r="K125" s="48">
        <f t="shared" si="15"/>
        <v>0</v>
      </c>
      <c r="L125" s="49">
        <f t="shared" si="16"/>
        <v>0</v>
      </c>
      <c r="M125" s="47">
        <f t="shared" si="17"/>
        <v>0</v>
      </c>
      <c r="N125" s="47">
        <f t="shared" si="18"/>
        <v>0</v>
      </c>
      <c r="O125" s="47">
        <f t="shared" si="19"/>
        <v>0</v>
      </c>
      <c r="P125" s="48">
        <f t="shared" si="20"/>
        <v>0</v>
      </c>
    </row>
    <row r="126" spans="1:16" x14ac:dyDescent="0.2">
      <c r="A126" s="38">
        <v>13</v>
      </c>
      <c r="B126" s="39"/>
      <c r="C126" s="97" t="s">
        <v>83</v>
      </c>
      <c r="D126" s="25" t="s">
        <v>82</v>
      </c>
      <c r="E126" s="98">
        <f>E125*1.15</f>
        <v>326.60000000000002</v>
      </c>
      <c r="F126" s="65"/>
      <c r="G126" s="62"/>
      <c r="H126" s="47"/>
      <c r="I126" s="62"/>
      <c r="J126" s="62"/>
      <c r="K126" s="48">
        <f t="shared" si="15"/>
        <v>0</v>
      </c>
      <c r="L126" s="49">
        <f t="shared" si="16"/>
        <v>0</v>
      </c>
      <c r="M126" s="47">
        <f t="shared" si="17"/>
        <v>0</v>
      </c>
      <c r="N126" s="47">
        <f t="shared" si="18"/>
        <v>0</v>
      </c>
      <c r="O126" s="47">
        <f t="shared" si="19"/>
        <v>0</v>
      </c>
      <c r="P126" s="48">
        <f t="shared" si="20"/>
        <v>0</v>
      </c>
    </row>
    <row r="127" spans="1:16" x14ac:dyDescent="0.2">
      <c r="A127" s="38">
        <v>14</v>
      </c>
      <c r="B127" s="39"/>
      <c r="C127" s="97" t="s">
        <v>84</v>
      </c>
      <c r="D127" s="25" t="s">
        <v>85</v>
      </c>
      <c r="E127" s="98">
        <v>1</v>
      </c>
      <c r="F127" s="65"/>
      <c r="G127" s="62"/>
      <c r="H127" s="47"/>
      <c r="I127" s="62"/>
      <c r="J127" s="62"/>
      <c r="K127" s="48">
        <f t="shared" ref="K127:K130" si="31">SUM(H127:J127)</f>
        <v>0</v>
      </c>
      <c r="L127" s="49">
        <f t="shared" ref="L127:L130" si="32">ROUND(E127*F127,2)</f>
        <v>0</v>
      </c>
      <c r="M127" s="47">
        <f t="shared" ref="M127:M130" si="33">ROUND(H127*E127,2)</f>
        <v>0</v>
      </c>
      <c r="N127" s="47">
        <f t="shared" ref="N127:N130" si="34">ROUND(I127*E127,2)</f>
        <v>0</v>
      </c>
      <c r="O127" s="47">
        <f t="shared" ref="O127:O130" si="35">ROUND(J127*E127,2)</f>
        <v>0</v>
      </c>
      <c r="P127" s="48">
        <f t="shared" ref="P127:P130" si="36">SUM(M127:O127)</f>
        <v>0</v>
      </c>
    </row>
    <row r="128" spans="1:16" ht="22.5" x14ac:dyDescent="0.2">
      <c r="A128" s="38">
        <v>15</v>
      </c>
      <c r="B128" s="39"/>
      <c r="C128" s="93" t="s">
        <v>219</v>
      </c>
      <c r="D128" s="25" t="s">
        <v>95</v>
      </c>
      <c r="E128" s="98">
        <v>19</v>
      </c>
      <c r="F128" s="65"/>
      <c r="G128" s="62"/>
      <c r="H128" s="47">
        <f t="shared" ref="H128:H130" si="37">ROUND(F128*G128,2)</f>
        <v>0</v>
      </c>
      <c r="I128" s="62"/>
      <c r="J128" s="62"/>
      <c r="K128" s="48">
        <f t="shared" si="31"/>
        <v>0</v>
      </c>
      <c r="L128" s="49">
        <f t="shared" si="32"/>
        <v>0</v>
      </c>
      <c r="M128" s="47">
        <f t="shared" si="33"/>
        <v>0</v>
      </c>
      <c r="N128" s="47">
        <f t="shared" si="34"/>
        <v>0</v>
      </c>
      <c r="O128" s="47">
        <f t="shared" si="35"/>
        <v>0</v>
      </c>
      <c r="P128" s="48">
        <f t="shared" si="36"/>
        <v>0</v>
      </c>
    </row>
    <row r="129" spans="1:16" ht="22.5" x14ac:dyDescent="0.2">
      <c r="A129" s="38">
        <v>16</v>
      </c>
      <c r="B129" s="39"/>
      <c r="C129" s="93" t="s">
        <v>220</v>
      </c>
      <c r="D129" s="25" t="s">
        <v>95</v>
      </c>
      <c r="E129" s="98">
        <v>12</v>
      </c>
      <c r="F129" s="65"/>
      <c r="G129" s="62"/>
      <c r="H129" s="47">
        <f t="shared" si="37"/>
        <v>0</v>
      </c>
      <c r="I129" s="62"/>
      <c r="J129" s="62"/>
      <c r="K129" s="48">
        <f t="shared" si="31"/>
        <v>0</v>
      </c>
      <c r="L129" s="49">
        <f t="shared" si="32"/>
        <v>0</v>
      </c>
      <c r="M129" s="47">
        <f t="shared" si="33"/>
        <v>0</v>
      </c>
      <c r="N129" s="47">
        <f t="shared" si="34"/>
        <v>0</v>
      </c>
      <c r="O129" s="47">
        <f t="shared" si="35"/>
        <v>0</v>
      </c>
      <c r="P129" s="48">
        <f t="shared" si="36"/>
        <v>0</v>
      </c>
    </row>
    <row r="130" spans="1:16" ht="23.25" thickBot="1" x14ac:dyDescent="0.25">
      <c r="A130" s="38">
        <v>17</v>
      </c>
      <c r="B130" s="39"/>
      <c r="C130" s="93" t="s">
        <v>221</v>
      </c>
      <c r="D130" s="25" t="s">
        <v>85</v>
      </c>
      <c r="E130" s="98">
        <v>1</v>
      </c>
      <c r="F130" s="65"/>
      <c r="G130" s="62"/>
      <c r="H130" s="47">
        <f t="shared" si="37"/>
        <v>0</v>
      </c>
      <c r="I130" s="62"/>
      <c r="J130" s="62"/>
      <c r="K130" s="48">
        <f t="shared" si="31"/>
        <v>0</v>
      </c>
      <c r="L130" s="49">
        <f t="shared" si="32"/>
        <v>0</v>
      </c>
      <c r="M130" s="47">
        <f t="shared" si="33"/>
        <v>0</v>
      </c>
      <c r="N130" s="47">
        <f t="shared" si="34"/>
        <v>0</v>
      </c>
      <c r="O130" s="47">
        <f t="shared" si="35"/>
        <v>0</v>
      </c>
      <c r="P130" s="48">
        <f t="shared" si="36"/>
        <v>0</v>
      </c>
    </row>
    <row r="131" spans="1:16" ht="12" customHeight="1" thickBot="1" x14ac:dyDescent="0.25">
      <c r="A131" s="156" t="s">
        <v>88</v>
      </c>
      <c r="B131" s="157"/>
      <c r="C131" s="157"/>
      <c r="D131" s="157"/>
      <c r="E131" s="157"/>
      <c r="F131" s="157"/>
      <c r="G131" s="157"/>
      <c r="H131" s="157"/>
      <c r="I131" s="157"/>
      <c r="J131" s="157"/>
      <c r="K131" s="158"/>
      <c r="L131" s="66">
        <f>SUM(L14:L130)</f>
        <v>0</v>
      </c>
      <c r="M131" s="67">
        <f>SUM(M14:M130)</f>
        <v>0</v>
      </c>
      <c r="N131" s="67">
        <f>SUM(N14:N130)</f>
        <v>0</v>
      </c>
      <c r="O131" s="67">
        <f>SUM(O14:O130)</f>
        <v>0</v>
      </c>
      <c r="P131" s="68">
        <f>SUM(P14:P130)</f>
        <v>0</v>
      </c>
    </row>
    <row r="132" spans="1:16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11.1" customHeight="1" x14ac:dyDescent="0.2">
      <c r="A134" s="1" t="s">
        <v>17</v>
      </c>
      <c r="B134" s="17"/>
      <c r="C134" s="107"/>
      <c r="D134" s="107"/>
      <c r="E134" s="107"/>
      <c r="F134" s="107"/>
      <c r="G134" s="107"/>
      <c r="H134" s="107"/>
      <c r="I134" s="17"/>
      <c r="J134" s="17"/>
      <c r="K134" s="17"/>
      <c r="L134" s="17"/>
      <c r="M134" s="17"/>
      <c r="N134" s="17"/>
      <c r="O134" s="17"/>
      <c r="P134" s="17"/>
    </row>
    <row r="135" spans="1:16" ht="11.1" customHeight="1" x14ac:dyDescent="0.2">
      <c r="A135" s="17"/>
      <c r="B135" s="17"/>
      <c r="C135" s="108" t="s">
        <v>18</v>
      </c>
      <c r="D135" s="108"/>
      <c r="E135" s="108"/>
      <c r="F135" s="108"/>
      <c r="G135" s="108"/>
      <c r="H135" s="108"/>
      <c r="I135" s="17"/>
      <c r="J135" s="17"/>
      <c r="K135" s="17"/>
      <c r="L135" s="17"/>
      <c r="M135" s="17"/>
      <c r="N135" s="17"/>
      <c r="O135" s="17"/>
      <c r="P135" s="17"/>
    </row>
    <row r="136" spans="1:16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x14ac:dyDescent="0.2">
      <c r="A138" s="1" t="s">
        <v>19</v>
      </c>
      <c r="B138" s="17"/>
      <c r="C138" s="107"/>
      <c r="D138" s="107"/>
      <c r="E138" s="107"/>
      <c r="F138" s="107"/>
      <c r="G138" s="107"/>
      <c r="H138" s="107"/>
      <c r="I138" s="17"/>
      <c r="J138" s="17"/>
      <c r="K138" s="17"/>
      <c r="L138" s="17"/>
      <c r="M138" s="17"/>
      <c r="N138" s="17"/>
      <c r="O138" s="17"/>
      <c r="P138" s="17"/>
    </row>
    <row r="139" spans="1:16" ht="11.1" customHeight="1" x14ac:dyDescent="0.2">
      <c r="A139" s="17"/>
      <c r="B139" s="17"/>
      <c r="C139" s="108" t="s">
        <v>18</v>
      </c>
      <c r="D139" s="108"/>
      <c r="E139" s="108"/>
      <c r="F139" s="108"/>
      <c r="G139" s="108"/>
      <c r="H139" s="108"/>
      <c r="I139" s="17"/>
      <c r="J139" s="17"/>
      <c r="K139" s="17"/>
      <c r="L139" s="17"/>
      <c r="M139" s="17"/>
      <c r="N139" s="17"/>
      <c r="O139" s="17"/>
      <c r="P139" s="17"/>
    </row>
    <row r="140" spans="1:16" ht="11.1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x14ac:dyDescent="0.2">
      <c r="A141" s="85" t="s">
        <v>20</v>
      </c>
      <c r="B141" s="86"/>
      <c r="C141" s="90"/>
      <c r="D141" s="8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x14ac:dyDescent="0.2">
      <c r="I142" s="17"/>
      <c r="J142" s="17"/>
      <c r="K142" s="17"/>
      <c r="L142" s="17"/>
      <c r="M142" s="17"/>
      <c r="N142" s="17"/>
      <c r="O142" s="17"/>
      <c r="P142" s="17"/>
    </row>
    <row r="143" spans="1:16" x14ac:dyDescent="0.2">
      <c r="I143" s="17"/>
      <c r="J143" s="17"/>
      <c r="K143" s="17"/>
      <c r="L143" s="17"/>
      <c r="M143" s="17"/>
      <c r="N143" s="17"/>
      <c r="O143" s="17"/>
      <c r="P143" s="17"/>
    </row>
  </sheetData>
  <mergeCells count="24">
    <mergeCell ref="S17:V17"/>
    <mergeCell ref="S89:V90"/>
    <mergeCell ref="C2:I2"/>
    <mergeCell ref="C3:I3"/>
    <mergeCell ref="D5:L5"/>
    <mergeCell ref="D6:L6"/>
    <mergeCell ref="D7:L7"/>
    <mergeCell ref="C4:I4"/>
    <mergeCell ref="D8:L8"/>
    <mergeCell ref="C134:H134"/>
    <mergeCell ref="C135:H135"/>
    <mergeCell ref="C139:H139"/>
    <mergeCell ref="C138:H138"/>
    <mergeCell ref="N9:O9"/>
    <mergeCell ref="C12:C13"/>
    <mergeCell ref="D12:D13"/>
    <mergeCell ref="E12:E13"/>
    <mergeCell ref="L12:P12"/>
    <mergeCell ref="A9:I9"/>
    <mergeCell ref="F12:K12"/>
    <mergeCell ref="J9:M9"/>
    <mergeCell ref="A131:K131"/>
    <mergeCell ref="A12:A13"/>
    <mergeCell ref="B12:B13"/>
  </mergeCells>
  <conditionalFormatting sqref="I14:J130 A14:G130">
    <cfRule type="cellIs" dxfId="152" priority="40" operator="equal">
      <formula>0</formula>
    </cfRule>
  </conditionalFormatting>
  <conditionalFormatting sqref="N9:O9 K14:P130 H14:H130">
    <cfRule type="cellIs" dxfId="151" priority="39" operator="equal">
      <formula>0</formula>
    </cfRule>
  </conditionalFormatting>
  <conditionalFormatting sqref="C2:I2">
    <cfRule type="cellIs" dxfId="150" priority="36" operator="equal">
      <formula>0</formula>
    </cfRule>
  </conditionalFormatting>
  <conditionalFormatting sqref="O10">
    <cfRule type="cellIs" dxfId="149" priority="35" operator="equal">
      <formula>"20__. gada __. _________"</formula>
    </cfRule>
  </conditionalFormatting>
  <conditionalFormatting sqref="L131:P131">
    <cfRule type="cellIs" dxfId="148" priority="29" operator="equal">
      <formula>0</formula>
    </cfRule>
  </conditionalFormatting>
  <conditionalFormatting sqref="C4:I4">
    <cfRule type="cellIs" dxfId="147" priority="28" operator="equal">
      <formula>0</formula>
    </cfRule>
  </conditionalFormatting>
  <conditionalFormatting sqref="D5:L8">
    <cfRule type="cellIs" dxfId="146" priority="25" operator="equal">
      <formula>0</formula>
    </cfRule>
  </conditionalFormatting>
  <conditionalFormatting sqref="P10">
    <cfRule type="cellIs" dxfId="145" priority="21" operator="equal">
      <formula>"20__. gada __. _________"</formula>
    </cfRule>
  </conditionalFormatting>
  <conditionalFormatting sqref="D1">
    <cfRule type="cellIs" dxfId="144" priority="15" operator="equal">
      <formula>0</formula>
    </cfRule>
  </conditionalFormatting>
  <conditionalFormatting sqref="A9">
    <cfRule type="containsText" dxfId="143" priority="1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31:K131">
    <cfRule type="containsText" dxfId="142" priority="5" operator="containsText" text="Tiešās izmaksas kopā, t. sk. darba devēja sociālais nodoklis __.__% ">
      <formula>NOT(ISERROR(SEARCH("Tiešās izmaksas kopā, t. sk. darba devēja sociālais nodoklis __.__% ",A131)))</formula>
    </cfRule>
  </conditionalFormatting>
  <conditionalFormatting sqref="C138:H138">
    <cfRule type="cellIs" dxfId="141" priority="4" operator="equal">
      <formula>0</formula>
    </cfRule>
  </conditionalFormatting>
  <conditionalFormatting sqref="C134:H134">
    <cfRule type="cellIs" dxfId="140" priority="3" operator="equal">
      <formula>0</formula>
    </cfRule>
  </conditionalFormatting>
  <conditionalFormatting sqref="C141">
    <cfRule type="cellIs" dxfId="139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AE6B52AC-C2FA-1A44-A64B-BCA7DF6B0A55}">
            <xm:f>NOT(ISERROR(SEARCH("Sertifikāta Nr. _________________________________",A141)))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Q46"/>
  <sheetViews>
    <sheetView topLeftCell="A46" workbookViewId="0">
      <selection activeCell="I14" sqref="I14:J33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7" x14ac:dyDescent="0.2">
      <c r="A1" s="23"/>
      <c r="B1" s="23"/>
      <c r="C1" s="27" t="s">
        <v>42</v>
      </c>
      <c r="D1" s="50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7" x14ac:dyDescent="0.2">
      <c r="A2" s="29"/>
      <c r="B2" s="29"/>
      <c r="C2" s="160" t="s">
        <v>222</v>
      </c>
      <c r="D2" s="160"/>
      <c r="E2" s="160"/>
      <c r="F2" s="160"/>
      <c r="G2" s="160"/>
      <c r="H2" s="160"/>
      <c r="I2" s="160"/>
      <c r="J2" s="29"/>
    </row>
    <row r="3" spans="1:17" x14ac:dyDescent="0.2">
      <c r="A3" s="30"/>
      <c r="B3" s="30"/>
      <c r="C3" s="151" t="s">
        <v>22</v>
      </c>
      <c r="D3" s="151"/>
      <c r="E3" s="151"/>
      <c r="F3" s="151"/>
      <c r="G3" s="151"/>
      <c r="H3" s="151"/>
      <c r="I3" s="151"/>
      <c r="J3" s="30"/>
    </row>
    <row r="4" spans="1:17" x14ac:dyDescent="0.2">
      <c r="A4" s="30"/>
      <c r="B4" s="30"/>
      <c r="C4" s="161"/>
      <c r="D4" s="161"/>
      <c r="E4" s="161"/>
      <c r="F4" s="161"/>
      <c r="G4" s="161"/>
      <c r="H4" s="161"/>
      <c r="I4" s="161"/>
      <c r="J4" s="30"/>
    </row>
    <row r="5" spans="1:17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7" ht="24.95" customHeight="1" x14ac:dyDescent="0.2">
      <c r="A6" s="23"/>
      <c r="B6" s="23"/>
      <c r="C6" s="27" t="s">
        <v>7</v>
      </c>
      <c r="D6" s="173" t="str">
        <f>'Kops a'!D7</f>
        <v>Daudzdzīvokļu dzīvojamās mājas, Dakteru ielā 24, Smiltenē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7" x14ac:dyDescent="0.2">
      <c r="A7" s="23"/>
      <c r="B7" s="23"/>
      <c r="C7" s="27" t="s">
        <v>9</v>
      </c>
      <c r="D7" s="173" t="str">
        <f>'Kops a'!D8</f>
        <v>Dakteru iela 24, Smiltene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7" x14ac:dyDescent="0.2">
      <c r="A8" s="23"/>
      <c r="B8" s="23"/>
      <c r="C8" s="4" t="s">
        <v>25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7" ht="11.25" customHeight="1" x14ac:dyDescent="0.2">
      <c r="A9" s="159" t="s">
        <v>44</v>
      </c>
      <c r="B9" s="159"/>
      <c r="C9" s="159"/>
      <c r="D9" s="159"/>
      <c r="E9" s="159"/>
      <c r="F9" s="159"/>
      <c r="G9" s="159"/>
      <c r="H9" s="159"/>
      <c r="I9" s="159"/>
      <c r="J9" s="165" t="s">
        <v>45</v>
      </c>
      <c r="K9" s="165"/>
      <c r="L9" s="165"/>
      <c r="M9" s="165"/>
      <c r="N9" s="172">
        <f>P34</f>
        <v>0</v>
      </c>
      <c r="O9" s="172"/>
      <c r="P9" s="31"/>
    </row>
    <row r="10" spans="1:17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>
        <f>A40</f>
        <v>0</v>
      </c>
    </row>
    <row r="11" spans="1:17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7" x14ac:dyDescent="0.2">
      <c r="A12" s="129" t="s">
        <v>28</v>
      </c>
      <c r="B12" s="167" t="s">
        <v>46</v>
      </c>
      <c r="C12" s="163" t="s">
        <v>47</v>
      </c>
      <c r="D12" s="170" t="s">
        <v>48</v>
      </c>
      <c r="E12" s="154" t="s">
        <v>49</v>
      </c>
      <c r="F12" s="162" t="s">
        <v>50</v>
      </c>
      <c r="G12" s="163"/>
      <c r="H12" s="163"/>
      <c r="I12" s="163"/>
      <c r="J12" s="163"/>
      <c r="K12" s="164"/>
      <c r="L12" s="162" t="s">
        <v>51</v>
      </c>
      <c r="M12" s="163"/>
      <c r="N12" s="163"/>
      <c r="O12" s="163"/>
      <c r="P12" s="164"/>
    </row>
    <row r="13" spans="1:17" ht="126.75" customHeight="1" thickBot="1" x14ac:dyDescent="0.25">
      <c r="A13" s="166"/>
      <c r="B13" s="168"/>
      <c r="C13" s="169"/>
      <c r="D13" s="171"/>
      <c r="E13" s="155"/>
      <c r="F13" s="36" t="s">
        <v>52</v>
      </c>
      <c r="G13" s="37" t="s">
        <v>53</v>
      </c>
      <c r="H13" s="37" t="s">
        <v>54</v>
      </c>
      <c r="I13" s="37" t="s">
        <v>55</v>
      </c>
      <c r="J13" s="37" t="s">
        <v>56</v>
      </c>
      <c r="K13" s="61" t="s">
        <v>57</v>
      </c>
      <c r="L13" s="36" t="s">
        <v>52</v>
      </c>
      <c r="M13" s="37" t="s">
        <v>54</v>
      </c>
      <c r="N13" s="37" t="s">
        <v>55</v>
      </c>
      <c r="O13" s="37" t="s">
        <v>56</v>
      </c>
      <c r="P13" s="61" t="s">
        <v>57</v>
      </c>
    </row>
    <row r="14" spans="1:17" x14ac:dyDescent="0.2">
      <c r="A14" s="94">
        <v>1</v>
      </c>
      <c r="B14" s="95"/>
      <c r="C14" s="96" t="s">
        <v>58</v>
      </c>
      <c r="D14" s="25"/>
      <c r="E14" s="64"/>
      <c r="F14" s="65"/>
      <c r="G14" s="62"/>
      <c r="H14" s="47"/>
      <c r="I14" s="62"/>
      <c r="J14" s="62"/>
      <c r="K14" s="63">
        <f>SUM(H14:J14)</f>
        <v>0</v>
      </c>
      <c r="L14" s="65">
        <f>ROUND(E14*F14,2)</f>
        <v>0</v>
      </c>
      <c r="M14" s="62">
        <f>ROUND(H14*E14,2)</f>
        <v>0</v>
      </c>
      <c r="N14" s="62">
        <f>ROUND(I14*E14,2)</f>
        <v>0</v>
      </c>
      <c r="O14" s="62">
        <f>ROUND(J14*E14,2)</f>
        <v>0</v>
      </c>
      <c r="P14" s="63">
        <f>SUM(M14:O14)</f>
        <v>0</v>
      </c>
    </row>
    <row r="15" spans="1:17" ht="22.5" x14ac:dyDescent="0.2">
      <c r="A15" s="38">
        <v>1</v>
      </c>
      <c r="B15" s="39"/>
      <c r="C15" s="93" t="s">
        <v>223</v>
      </c>
      <c r="D15" s="25" t="s">
        <v>60</v>
      </c>
      <c r="E15" s="98">
        <v>431.6</v>
      </c>
      <c r="F15" s="65"/>
      <c r="G15" s="62"/>
      <c r="H15" s="47">
        <f t="shared" ref="H15" si="0">ROUND(F15*G15,2)</f>
        <v>0</v>
      </c>
      <c r="I15" s="62"/>
      <c r="J15" s="62"/>
      <c r="K15" s="48">
        <f t="shared" ref="K15:K33" si="1">SUM(H15:J15)</f>
        <v>0</v>
      </c>
      <c r="L15" s="49">
        <f t="shared" ref="L15:L33" si="2">ROUND(E15*F15,2)</f>
        <v>0</v>
      </c>
      <c r="M15" s="47">
        <f t="shared" ref="M15:M33" si="3">ROUND(H15*E15,2)</f>
        <v>0</v>
      </c>
      <c r="N15" s="47">
        <f t="shared" ref="N15:N33" si="4">ROUND(I15*E15,2)</f>
        <v>0</v>
      </c>
      <c r="O15" s="47">
        <f t="shared" ref="O15:O33" si="5">ROUND(J15*E15,2)</f>
        <v>0</v>
      </c>
      <c r="P15" s="48">
        <f t="shared" ref="P15:P33" si="6">SUM(M15:O15)</f>
        <v>0</v>
      </c>
      <c r="Q15" s="100"/>
    </row>
    <row r="16" spans="1:17" x14ac:dyDescent="0.2">
      <c r="A16" s="94">
        <v>2</v>
      </c>
      <c r="B16" s="95"/>
      <c r="C16" s="96" t="s">
        <v>224</v>
      </c>
      <c r="D16" s="25"/>
      <c r="E16" s="98"/>
      <c r="F16" s="65"/>
      <c r="G16" s="62"/>
      <c r="H16" s="47"/>
      <c r="I16" s="62"/>
      <c r="J16" s="62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1</v>
      </c>
      <c r="B17" s="39"/>
      <c r="C17" s="93" t="s">
        <v>225</v>
      </c>
      <c r="D17" s="25" t="s">
        <v>60</v>
      </c>
      <c r="E17" s="98">
        <f>E15</f>
        <v>431.6</v>
      </c>
      <c r="F17" s="65"/>
      <c r="G17" s="62"/>
      <c r="H17" s="47">
        <f t="shared" ref="H17:H18" si="7">ROUND(F17*G17,2)</f>
        <v>0</v>
      </c>
      <c r="I17" s="62"/>
      <c r="J17" s="62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2.5" x14ac:dyDescent="0.2">
      <c r="A18" s="38">
        <v>2</v>
      </c>
      <c r="B18" s="39"/>
      <c r="C18" s="93" t="s">
        <v>226</v>
      </c>
      <c r="D18" s="25" t="s">
        <v>60</v>
      </c>
      <c r="E18" s="98">
        <f>E17</f>
        <v>431.6</v>
      </c>
      <c r="F18" s="65"/>
      <c r="G18" s="62"/>
      <c r="H18" s="47">
        <f t="shared" si="7"/>
        <v>0</v>
      </c>
      <c r="I18" s="62"/>
      <c r="J18" s="62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3</v>
      </c>
      <c r="B19" s="39"/>
      <c r="C19" s="97" t="s">
        <v>227</v>
      </c>
      <c r="D19" s="25" t="s">
        <v>60</v>
      </c>
      <c r="E19" s="98">
        <f>E18*1.1</f>
        <v>474.76</v>
      </c>
      <c r="F19" s="65"/>
      <c r="G19" s="62"/>
      <c r="H19" s="47"/>
      <c r="I19" s="62"/>
      <c r="J19" s="62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4</v>
      </c>
      <c r="B20" s="39"/>
      <c r="C20" s="97" t="s">
        <v>65</v>
      </c>
      <c r="D20" s="25" t="s">
        <v>66</v>
      </c>
      <c r="E20" s="98">
        <f>E18*6.5</f>
        <v>2805.4</v>
      </c>
      <c r="F20" s="65"/>
      <c r="G20" s="62"/>
      <c r="H20" s="47"/>
      <c r="I20" s="62"/>
      <c r="J20" s="62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5</v>
      </c>
      <c r="B21" s="39"/>
      <c r="C21" s="97" t="s">
        <v>142</v>
      </c>
      <c r="D21" s="25" t="s">
        <v>68</v>
      </c>
      <c r="E21" s="98">
        <v>1</v>
      </c>
      <c r="F21" s="65"/>
      <c r="G21" s="62"/>
      <c r="H21" s="47"/>
      <c r="I21" s="62"/>
      <c r="J21" s="62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6</v>
      </c>
      <c r="B22" s="39"/>
      <c r="C22" s="93" t="s">
        <v>146</v>
      </c>
      <c r="D22" s="25" t="s">
        <v>60</v>
      </c>
      <c r="E22" s="98">
        <f>E18</f>
        <v>431.6</v>
      </c>
      <c r="F22" s="65"/>
      <c r="G22" s="62"/>
      <c r="H22" s="47">
        <f t="shared" ref="H22" si="8">ROUND(F22*G22,2)</f>
        <v>0</v>
      </c>
      <c r="I22" s="62"/>
      <c r="J22" s="62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2.5" x14ac:dyDescent="0.2">
      <c r="A23" s="38">
        <v>7</v>
      </c>
      <c r="B23" s="39"/>
      <c r="C23" s="97" t="s">
        <v>64</v>
      </c>
      <c r="D23" s="25" t="s">
        <v>60</v>
      </c>
      <c r="E23" s="98">
        <f>E22*1.25</f>
        <v>539.5</v>
      </c>
      <c r="F23" s="65"/>
      <c r="G23" s="62"/>
      <c r="H23" s="47"/>
      <c r="I23" s="62"/>
      <c r="J23" s="62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8</v>
      </c>
      <c r="B24" s="39"/>
      <c r="C24" s="97" t="s">
        <v>65</v>
      </c>
      <c r="D24" s="25" t="s">
        <v>66</v>
      </c>
      <c r="E24" s="98">
        <f>E22*5</f>
        <v>2158</v>
      </c>
      <c r="F24" s="65"/>
      <c r="G24" s="62"/>
      <c r="H24" s="47"/>
      <c r="I24" s="62"/>
      <c r="J24" s="62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9</v>
      </c>
      <c r="B25" s="39"/>
      <c r="C25" s="97" t="s">
        <v>67</v>
      </c>
      <c r="D25" s="25" t="s">
        <v>68</v>
      </c>
      <c r="E25" s="98">
        <v>1</v>
      </c>
      <c r="F25" s="65"/>
      <c r="G25" s="62"/>
      <c r="H25" s="47"/>
      <c r="I25" s="62"/>
      <c r="J25" s="62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10</v>
      </c>
      <c r="B26" s="39"/>
      <c r="C26" s="93" t="s">
        <v>228</v>
      </c>
      <c r="D26" s="25" t="s">
        <v>60</v>
      </c>
      <c r="E26" s="98">
        <f>3.05*2.2*3</f>
        <v>20.13</v>
      </c>
      <c r="F26" s="65"/>
      <c r="G26" s="62"/>
      <c r="H26" s="47">
        <f t="shared" ref="H26" si="9">ROUND(F26*G26,2)</f>
        <v>0</v>
      </c>
      <c r="I26" s="62"/>
      <c r="J26" s="62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2.5" x14ac:dyDescent="0.2">
      <c r="A27" s="38">
        <v>11</v>
      </c>
      <c r="B27" s="39"/>
      <c r="C27" s="97" t="s">
        <v>229</v>
      </c>
      <c r="D27" s="25" t="s">
        <v>60</v>
      </c>
      <c r="E27" s="98">
        <f>E26*1.1</f>
        <v>22.14</v>
      </c>
      <c r="F27" s="65"/>
      <c r="G27" s="62"/>
      <c r="H27" s="47"/>
      <c r="I27" s="62"/>
      <c r="J27" s="62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12</v>
      </c>
      <c r="B28" s="39"/>
      <c r="C28" s="97" t="s">
        <v>65</v>
      </c>
      <c r="D28" s="25" t="s">
        <v>66</v>
      </c>
      <c r="E28" s="98">
        <f>E26*6.5</f>
        <v>130.85</v>
      </c>
      <c r="F28" s="65"/>
      <c r="G28" s="62"/>
      <c r="H28" s="47"/>
      <c r="I28" s="62"/>
      <c r="J28" s="62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13</v>
      </c>
      <c r="B29" s="39"/>
      <c r="C29" s="97" t="s">
        <v>142</v>
      </c>
      <c r="D29" s="25" t="s">
        <v>68</v>
      </c>
      <c r="E29" s="98">
        <v>1</v>
      </c>
      <c r="F29" s="65"/>
      <c r="G29" s="62"/>
      <c r="H29" s="47"/>
      <c r="I29" s="62"/>
      <c r="J29" s="62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14</v>
      </c>
      <c r="B30" s="39"/>
      <c r="C30" s="93" t="s">
        <v>146</v>
      </c>
      <c r="D30" s="25" t="s">
        <v>60</v>
      </c>
      <c r="E30" s="98">
        <f>E26</f>
        <v>20.13</v>
      </c>
      <c r="F30" s="65"/>
      <c r="G30" s="62"/>
      <c r="H30" s="47">
        <f t="shared" ref="H30" si="10">ROUND(F30*G30,2)</f>
        <v>0</v>
      </c>
      <c r="I30" s="62"/>
      <c r="J30" s="62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2.5" x14ac:dyDescent="0.2">
      <c r="A31" s="38">
        <v>15</v>
      </c>
      <c r="B31" s="39"/>
      <c r="C31" s="97" t="s">
        <v>64</v>
      </c>
      <c r="D31" s="25" t="s">
        <v>60</v>
      </c>
      <c r="E31" s="98">
        <f>E30*1.25</f>
        <v>25.16</v>
      </c>
      <c r="F31" s="65"/>
      <c r="G31" s="62"/>
      <c r="H31" s="47"/>
      <c r="I31" s="62"/>
      <c r="J31" s="62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x14ac:dyDescent="0.2">
      <c r="A32" s="38">
        <v>16</v>
      </c>
      <c r="B32" s="39"/>
      <c r="C32" s="97" t="s">
        <v>65</v>
      </c>
      <c r="D32" s="25" t="s">
        <v>66</v>
      </c>
      <c r="E32" s="98">
        <f>E30*5</f>
        <v>100.65</v>
      </c>
      <c r="F32" s="65"/>
      <c r="G32" s="62"/>
      <c r="H32" s="47"/>
      <c r="I32" s="62"/>
      <c r="J32" s="62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12" thickBot="1" x14ac:dyDescent="0.25">
      <c r="A33" s="38">
        <v>17</v>
      </c>
      <c r="B33" s="39"/>
      <c r="C33" s="97" t="s">
        <v>67</v>
      </c>
      <c r="D33" s="25" t="s">
        <v>68</v>
      </c>
      <c r="E33" s="98">
        <v>1</v>
      </c>
      <c r="F33" s="65"/>
      <c r="G33" s="62"/>
      <c r="H33" s="47"/>
      <c r="I33" s="62"/>
      <c r="J33" s="62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12" customHeight="1" thickBot="1" x14ac:dyDescent="0.25">
      <c r="A34" s="156" t="s">
        <v>88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8"/>
      <c r="L34" s="66">
        <f>SUM(L14:L33)</f>
        <v>0</v>
      </c>
      <c r="M34" s="67">
        <f>SUM(M14:M33)</f>
        <v>0</v>
      </c>
      <c r="N34" s="67">
        <f>SUM(N14:N33)</f>
        <v>0</v>
      </c>
      <c r="O34" s="67">
        <f>SUM(O14:O33)</f>
        <v>0</v>
      </c>
      <c r="P34" s="68">
        <f>SUM(P14:P33)</f>
        <v>0</v>
      </c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1.1" customHeight="1" x14ac:dyDescent="0.2">
      <c r="A37" s="1" t="s">
        <v>17</v>
      </c>
      <c r="B37" s="17"/>
      <c r="C37" s="107"/>
      <c r="D37" s="107"/>
      <c r="E37" s="107"/>
      <c r="F37" s="107"/>
      <c r="G37" s="107"/>
      <c r="H37" s="107"/>
      <c r="I37" s="17"/>
      <c r="J37" s="17"/>
      <c r="K37" s="17"/>
      <c r="L37" s="17"/>
      <c r="M37" s="17"/>
      <c r="N37" s="17"/>
      <c r="O37" s="17"/>
      <c r="P37" s="17"/>
    </row>
    <row r="38" spans="1:16" ht="11.1" customHeight="1" x14ac:dyDescent="0.2">
      <c r="A38" s="17"/>
      <c r="B38" s="17"/>
      <c r="C38" s="108" t="s">
        <v>18</v>
      </c>
      <c r="D38" s="108"/>
      <c r="E38" s="108"/>
      <c r="F38" s="108"/>
      <c r="G38" s="108"/>
      <c r="H38" s="108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" t="s">
        <v>19</v>
      </c>
      <c r="B41" s="17"/>
      <c r="C41" s="107"/>
      <c r="D41" s="107"/>
      <c r="E41" s="107"/>
      <c r="F41" s="107"/>
      <c r="G41" s="107"/>
      <c r="H41" s="107"/>
      <c r="I41" s="17"/>
      <c r="J41" s="17"/>
      <c r="K41" s="17"/>
      <c r="L41" s="17"/>
      <c r="M41" s="17"/>
      <c r="N41" s="17"/>
      <c r="O41" s="17"/>
      <c r="P41" s="17"/>
    </row>
    <row r="42" spans="1:16" ht="11.1" customHeight="1" x14ac:dyDescent="0.2">
      <c r="A42" s="17"/>
      <c r="B42" s="17"/>
      <c r="C42" s="108" t="s">
        <v>18</v>
      </c>
      <c r="D42" s="108"/>
      <c r="E42" s="108"/>
      <c r="F42" s="108"/>
      <c r="G42" s="108"/>
      <c r="H42" s="108"/>
      <c r="I42" s="17"/>
      <c r="J42" s="17"/>
      <c r="K42" s="17"/>
      <c r="L42" s="17"/>
      <c r="M42" s="17"/>
      <c r="N42" s="17"/>
      <c r="O42" s="17"/>
      <c r="P42" s="17"/>
    </row>
    <row r="43" spans="1:16" ht="11.1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85" t="s">
        <v>20</v>
      </c>
      <c r="B44" s="86"/>
      <c r="C44" s="90"/>
      <c r="D44" s="8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I46" s="17"/>
      <c r="J46" s="17"/>
      <c r="K46" s="17"/>
      <c r="L46" s="17"/>
      <c r="M46" s="17"/>
      <c r="N46" s="17"/>
      <c r="O46" s="17"/>
      <c r="P46" s="17"/>
    </row>
  </sheetData>
  <mergeCells count="22">
    <mergeCell ref="C2:I2"/>
    <mergeCell ref="C3:I3"/>
    <mergeCell ref="D5:L5"/>
    <mergeCell ref="D6:L6"/>
    <mergeCell ref="D7:L7"/>
    <mergeCell ref="C4:I4"/>
    <mergeCell ref="C38:H38"/>
    <mergeCell ref="C42:H42"/>
    <mergeCell ref="C41:H41"/>
    <mergeCell ref="N9:O9"/>
    <mergeCell ref="C12:C13"/>
    <mergeCell ref="D12:D13"/>
    <mergeCell ref="E12:E13"/>
    <mergeCell ref="L12:P12"/>
    <mergeCell ref="A9:I9"/>
    <mergeCell ref="F12:K12"/>
    <mergeCell ref="J9:M9"/>
    <mergeCell ref="D8:L8"/>
    <mergeCell ref="A34:K34"/>
    <mergeCell ref="A12:A13"/>
    <mergeCell ref="B12:B13"/>
    <mergeCell ref="C37:H37"/>
  </mergeCells>
  <conditionalFormatting sqref="I14:J33 A14:G33">
    <cfRule type="cellIs" dxfId="137" priority="35" operator="equal">
      <formula>0</formula>
    </cfRule>
  </conditionalFormatting>
  <conditionalFormatting sqref="N9:O9 K14:P33 H14:H33">
    <cfRule type="cellIs" dxfId="136" priority="34" operator="equal">
      <formula>0</formula>
    </cfRule>
  </conditionalFormatting>
  <conditionalFormatting sqref="C2:I2">
    <cfRule type="cellIs" dxfId="135" priority="31" operator="equal">
      <formula>0</formula>
    </cfRule>
  </conditionalFormatting>
  <conditionalFormatting sqref="O10">
    <cfRule type="cellIs" dxfId="134" priority="30" operator="equal">
      <formula>"20__. gada __. _________"</formula>
    </cfRule>
  </conditionalFormatting>
  <conditionalFormatting sqref="L34:P34">
    <cfRule type="cellIs" dxfId="133" priority="24" operator="equal">
      <formula>0</formula>
    </cfRule>
  </conditionalFormatting>
  <conditionalFormatting sqref="C4:I4">
    <cfRule type="cellIs" dxfId="132" priority="23" operator="equal">
      <formula>0</formula>
    </cfRule>
  </conditionalFormatting>
  <conditionalFormatting sqref="D5:L8">
    <cfRule type="cellIs" dxfId="131" priority="20" operator="equal">
      <formula>0</formula>
    </cfRule>
  </conditionalFormatting>
  <conditionalFormatting sqref="P10">
    <cfRule type="cellIs" dxfId="130" priority="16" operator="equal">
      <formula>"20__. gada __. _________"</formula>
    </cfRule>
  </conditionalFormatting>
  <conditionalFormatting sqref="D1">
    <cfRule type="cellIs" dxfId="129" priority="10" operator="equal">
      <formula>0</formula>
    </cfRule>
  </conditionalFormatting>
  <conditionalFormatting sqref="A9">
    <cfRule type="containsText" dxfId="128" priority="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4:K34">
    <cfRule type="containsText" dxfId="127" priority="5" operator="containsText" text="Tiešās izmaksas kopā, t. sk. darba devēja sociālais nodoklis __.__% ">
      <formula>NOT(ISERROR(SEARCH("Tiešās izmaksas kopā, t. sk. darba devēja sociālais nodoklis __.__% ",A34)))</formula>
    </cfRule>
  </conditionalFormatting>
  <conditionalFormatting sqref="C41:H41">
    <cfRule type="cellIs" dxfId="126" priority="4" operator="equal">
      <formula>0</formula>
    </cfRule>
  </conditionalFormatting>
  <conditionalFormatting sqref="C37:H37">
    <cfRule type="cellIs" dxfId="125" priority="3" operator="equal">
      <formula>0</formula>
    </cfRule>
  </conditionalFormatting>
  <conditionalFormatting sqref="C44">
    <cfRule type="cellIs" dxfId="12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F2877C6E-4B6F-CA4E-A43C-46F146BCF0B7}">
            <xm:f>NOT(ISERROR(SEARCH("Sertifikāta Nr. _________________________________",A44)))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P93"/>
  <sheetViews>
    <sheetView tabSelected="1" workbookViewId="0">
      <selection activeCell="E23" sqref="E23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42</v>
      </c>
      <c r="D1" s="50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230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1" t="s">
        <v>22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61"/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x14ac:dyDescent="0.2">
      <c r="A6" s="23"/>
      <c r="B6" s="23"/>
      <c r="C6" s="27" t="s">
        <v>7</v>
      </c>
      <c r="D6" s="173" t="str">
        <f>'Kops a'!D7</f>
        <v>Daudzdzīvokļu dzīvojamās mājas, Dakteru ielā 24, Smiltenē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9</v>
      </c>
      <c r="D7" s="173" t="str">
        <f>'Kops a'!D8</f>
        <v>Dakteru iela 24, Smiltene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25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44</v>
      </c>
      <c r="B9" s="159"/>
      <c r="C9" s="159"/>
      <c r="D9" s="159"/>
      <c r="E9" s="159"/>
      <c r="F9" s="159"/>
      <c r="G9" s="159"/>
      <c r="H9" s="159"/>
      <c r="I9" s="159"/>
      <c r="J9" s="165" t="s">
        <v>45</v>
      </c>
      <c r="K9" s="165"/>
      <c r="L9" s="165"/>
      <c r="M9" s="165"/>
      <c r="N9" s="172">
        <f>P81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>
        <f>A87</f>
        <v>0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9" t="s">
        <v>28</v>
      </c>
      <c r="B12" s="167" t="s">
        <v>46</v>
      </c>
      <c r="C12" s="163" t="s">
        <v>47</v>
      </c>
      <c r="D12" s="170" t="s">
        <v>48</v>
      </c>
      <c r="E12" s="154" t="s">
        <v>49</v>
      </c>
      <c r="F12" s="162" t="s">
        <v>50</v>
      </c>
      <c r="G12" s="163"/>
      <c r="H12" s="163"/>
      <c r="I12" s="163"/>
      <c r="J12" s="163"/>
      <c r="K12" s="164"/>
      <c r="L12" s="162" t="s">
        <v>51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5"/>
      <c r="F13" s="36" t="s">
        <v>52</v>
      </c>
      <c r="G13" s="37" t="s">
        <v>53</v>
      </c>
      <c r="H13" s="37" t="s">
        <v>54</v>
      </c>
      <c r="I13" s="37" t="s">
        <v>55</v>
      </c>
      <c r="J13" s="37" t="s">
        <v>56</v>
      </c>
      <c r="K13" s="61" t="s">
        <v>57</v>
      </c>
      <c r="L13" s="36" t="s">
        <v>52</v>
      </c>
      <c r="M13" s="37" t="s">
        <v>54</v>
      </c>
      <c r="N13" s="37" t="s">
        <v>55</v>
      </c>
      <c r="O13" s="37" t="s">
        <v>56</v>
      </c>
      <c r="P13" s="61" t="s">
        <v>57</v>
      </c>
    </row>
    <row r="14" spans="1:16" x14ac:dyDescent="0.2">
      <c r="A14" s="94">
        <v>1</v>
      </c>
      <c r="B14" s="95"/>
      <c r="C14" s="96" t="s">
        <v>58</v>
      </c>
      <c r="D14" s="25"/>
      <c r="E14" s="98"/>
      <c r="F14" s="65"/>
      <c r="G14" s="62"/>
      <c r="H14" s="47"/>
      <c r="I14" s="62"/>
      <c r="J14" s="62"/>
      <c r="K14" s="63">
        <f>SUM(H14:J14)</f>
        <v>0</v>
      </c>
      <c r="L14" s="65">
        <f>ROUND(E14*F14,2)</f>
        <v>0</v>
      </c>
      <c r="M14" s="62">
        <f>ROUND(H14*E14,2)</f>
        <v>0</v>
      </c>
      <c r="N14" s="62">
        <f>ROUND(I14*E14,2)</f>
        <v>0</v>
      </c>
      <c r="O14" s="62">
        <f>ROUND(J14*E14,2)</f>
        <v>0</v>
      </c>
      <c r="P14" s="63">
        <f>SUM(M14:O14)</f>
        <v>0</v>
      </c>
    </row>
    <row r="15" spans="1:16" x14ac:dyDescent="0.2">
      <c r="A15" s="38">
        <v>1</v>
      </c>
      <c r="B15" s="39"/>
      <c r="C15" s="93" t="s">
        <v>231</v>
      </c>
      <c r="D15" s="25" t="s">
        <v>95</v>
      </c>
      <c r="E15" s="98">
        <v>26</v>
      </c>
      <c r="F15" s="65"/>
      <c r="G15" s="62"/>
      <c r="H15" s="47">
        <f t="shared" ref="H15:H23" si="0">ROUND(F15*G15,2)</f>
        <v>0</v>
      </c>
      <c r="I15" s="62"/>
      <c r="J15" s="62"/>
      <c r="K15" s="48">
        <f t="shared" ref="K15:K73" si="1">SUM(H15:J15)</f>
        <v>0</v>
      </c>
      <c r="L15" s="49">
        <f t="shared" ref="L15:L73" si="2">ROUND(E15*F15,2)</f>
        <v>0</v>
      </c>
      <c r="M15" s="47">
        <f t="shared" ref="M15:M73" si="3">ROUND(H15*E15,2)</f>
        <v>0</v>
      </c>
      <c r="N15" s="47">
        <f t="shared" ref="N15:N73" si="4">ROUND(I15*E15,2)</f>
        <v>0</v>
      </c>
      <c r="O15" s="47">
        <f t="shared" ref="O15:O73" si="5">ROUND(J15*E15,2)</f>
        <v>0</v>
      </c>
      <c r="P15" s="48">
        <f t="shared" ref="P15:P73" si="6">SUM(M15:O15)</f>
        <v>0</v>
      </c>
    </row>
    <row r="16" spans="1:16" ht="22.5" x14ac:dyDescent="0.2">
      <c r="A16" s="38">
        <v>2</v>
      </c>
      <c r="B16" s="39"/>
      <c r="C16" s="93" t="s">
        <v>232</v>
      </c>
      <c r="D16" s="25" t="s">
        <v>95</v>
      </c>
      <c r="E16" s="98">
        <v>12</v>
      </c>
      <c r="F16" s="65"/>
      <c r="G16" s="62"/>
      <c r="H16" s="47">
        <f>ROUND(F16*G16,2)</f>
        <v>0</v>
      </c>
      <c r="I16" s="62"/>
      <c r="J16" s="62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22.5" x14ac:dyDescent="0.2">
      <c r="A17" s="38">
        <v>3</v>
      </c>
      <c r="B17" s="39"/>
      <c r="C17" s="93" t="s">
        <v>233</v>
      </c>
      <c r="D17" s="25" t="s">
        <v>95</v>
      </c>
      <c r="E17" s="98">
        <v>19</v>
      </c>
      <c r="F17" s="65"/>
      <c r="G17" s="62"/>
      <c r="H17" s="47">
        <f t="shared" si="0"/>
        <v>0</v>
      </c>
      <c r="I17" s="62"/>
      <c r="J17" s="62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4</v>
      </c>
      <c r="B18" s="39"/>
      <c r="C18" s="93" t="s">
        <v>234</v>
      </c>
      <c r="D18" s="25" t="s">
        <v>95</v>
      </c>
      <c r="E18" s="98">
        <v>12</v>
      </c>
      <c r="F18" s="65"/>
      <c r="G18" s="62"/>
      <c r="H18" s="47">
        <f t="shared" si="0"/>
        <v>0</v>
      </c>
      <c r="I18" s="62"/>
      <c r="J18" s="62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5</v>
      </c>
      <c r="B19" s="39"/>
      <c r="C19" s="93" t="s">
        <v>235</v>
      </c>
      <c r="D19" s="25" t="s">
        <v>82</v>
      </c>
      <c r="E19" s="98">
        <v>284</v>
      </c>
      <c r="F19" s="65"/>
      <c r="G19" s="62"/>
      <c r="H19" s="47">
        <f t="shared" si="0"/>
        <v>0</v>
      </c>
      <c r="I19" s="62"/>
      <c r="J19" s="62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6</v>
      </c>
      <c r="B20" s="39"/>
      <c r="C20" s="93" t="s">
        <v>236</v>
      </c>
      <c r="D20" s="25" t="s">
        <v>95</v>
      </c>
      <c r="E20" s="98">
        <v>3</v>
      </c>
      <c r="F20" s="65"/>
      <c r="G20" s="62"/>
      <c r="H20" s="47">
        <f t="shared" si="0"/>
        <v>0</v>
      </c>
      <c r="I20" s="62"/>
      <c r="J20" s="62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7</v>
      </c>
      <c r="B21" s="39"/>
      <c r="C21" s="93" t="s">
        <v>237</v>
      </c>
      <c r="D21" s="25" t="s">
        <v>95</v>
      </c>
      <c r="E21" s="98">
        <v>3</v>
      </c>
      <c r="F21" s="65"/>
      <c r="G21" s="62"/>
      <c r="H21" s="47">
        <f t="shared" si="0"/>
        <v>0</v>
      </c>
      <c r="I21" s="62"/>
      <c r="J21" s="62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8</v>
      </c>
      <c r="B22" s="39"/>
      <c r="C22" s="93" t="s">
        <v>238</v>
      </c>
      <c r="D22" s="25" t="s">
        <v>95</v>
      </c>
      <c r="E22" s="98">
        <v>3</v>
      </c>
      <c r="F22" s="65"/>
      <c r="G22" s="62"/>
      <c r="H22" s="47">
        <f t="shared" si="0"/>
        <v>0</v>
      </c>
      <c r="I22" s="62"/>
      <c r="J22" s="62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>
        <v>9</v>
      </c>
      <c r="B23" s="39"/>
      <c r="C23" s="93" t="s">
        <v>239</v>
      </c>
      <c r="D23" s="25" t="s">
        <v>95</v>
      </c>
      <c r="E23" s="98">
        <v>3</v>
      </c>
      <c r="F23" s="65"/>
      <c r="G23" s="62"/>
      <c r="H23" s="47">
        <f t="shared" si="0"/>
        <v>0</v>
      </c>
      <c r="I23" s="62"/>
      <c r="J23" s="62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94">
        <v>2</v>
      </c>
      <c r="B24" s="95"/>
      <c r="C24" s="96" t="s">
        <v>240</v>
      </c>
      <c r="D24" s="25"/>
      <c r="E24" s="98"/>
      <c r="F24" s="65"/>
      <c r="G24" s="62"/>
      <c r="H24" s="47"/>
      <c r="I24" s="62"/>
      <c r="J24" s="62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2.5" x14ac:dyDescent="0.2">
      <c r="A25" s="38">
        <v>1</v>
      </c>
      <c r="B25" s="39"/>
      <c r="C25" s="93" t="s">
        <v>241</v>
      </c>
      <c r="D25" s="25" t="s">
        <v>242</v>
      </c>
      <c r="E25" s="98">
        <f>SUM(E26:E28)</f>
        <v>26</v>
      </c>
      <c r="F25" s="65"/>
      <c r="G25" s="62"/>
      <c r="H25" s="47">
        <f>ROUND(F25*G25,2)</f>
        <v>0</v>
      </c>
      <c r="I25" s="62"/>
      <c r="J25" s="62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2.5" x14ac:dyDescent="0.2">
      <c r="A26" s="38">
        <v>2</v>
      </c>
      <c r="B26" s="39"/>
      <c r="C26" s="97" t="s">
        <v>243</v>
      </c>
      <c r="D26" s="25" t="s">
        <v>242</v>
      </c>
      <c r="E26" s="98">
        <v>6</v>
      </c>
      <c r="F26" s="65"/>
      <c r="G26" s="62"/>
      <c r="H26" s="47"/>
      <c r="I26" s="62"/>
      <c r="J26" s="62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2.5" x14ac:dyDescent="0.2">
      <c r="A27" s="38">
        <v>3</v>
      </c>
      <c r="B27" s="39"/>
      <c r="C27" s="97" t="s">
        <v>244</v>
      </c>
      <c r="D27" s="25" t="s">
        <v>242</v>
      </c>
      <c r="E27" s="98">
        <v>12</v>
      </c>
      <c r="F27" s="65"/>
      <c r="G27" s="62"/>
      <c r="H27" s="47"/>
      <c r="I27" s="62"/>
      <c r="J27" s="62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2.5" x14ac:dyDescent="0.2">
      <c r="A28" s="38">
        <v>4</v>
      </c>
      <c r="B28" s="39"/>
      <c r="C28" s="97" t="s">
        <v>245</v>
      </c>
      <c r="D28" s="25" t="s">
        <v>242</v>
      </c>
      <c r="E28" s="98">
        <v>8</v>
      </c>
      <c r="F28" s="65"/>
      <c r="G28" s="62"/>
      <c r="H28" s="47"/>
      <c r="I28" s="62"/>
      <c r="J28" s="62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5</v>
      </c>
      <c r="B29" s="39"/>
      <c r="C29" s="97" t="s">
        <v>246</v>
      </c>
      <c r="D29" s="25" t="s">
        <v>68</v>
      </c>
      <c r="E29" s="98">
        <v>1</v>
      </c>
      <c r="F29" s="65"/>
      <c r="G29" s="62"/>
      <c r="H29" s="47"/>
      <c r="I29" s="62"/>
      <c r="J29" s="62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6</v>
      </c>
      <c r="B30" s="39"/>
      <c r="C30" s="97" t="s">
        <v>247</v>
      </c>
      <c r="D30" s="25" t="s">
        <v>68</v>
      </c>
      <c r="E30" s="98">
        <v>1</v>
      </c>
      <c r="F30" s="65"/>
      <c r="G30" s="62"/>
      <c r="H30" s="47"/>
      <c r="I30" s="62"/>
      <c r="J30" s="62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2.5" x14ac:dyDescent="0.2">
      <c r="A31" s="38">
        <v>7</v>
      </c>
      <c r="B31" s="39"/>
      <c r="C31" s="93" t="s">
        <v>248</v>
      </c>
      <c r="D31" s="25" t="s">
        <v>242</v>
      </c>
      <c r="E31" s="98">
        <f>E32</f>
        <v>12</v>
      </c>
      <c r="F31" s="65"/>
      <c r="G31" s="62"/>
      <c r="H31" s="47">
        <f>ROUND(F31*G31,2)</f>
        <v>0</v>
      </c>
      <c r="I31" s="62"/>
      <c r="J31" s="62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2.5" x14ac:dyDescent="0.2">
      <c r="A32" s="38">
        <v>8</v>
      </c>
      <c r="B32" s="39"/>
      <c r="C32" s="97" t="s">
        <v>249</v>
      </c>
      <c r="D32" s="25" t="s">
        <v>242</v>
      </c>
      <c r="E32" s="98">
        <v>12</v>
      </c>
      <c r="F32" s="65"/>
      <c r="G32" s="62"/>
      <c r="H32" s="47"/>
      <c r="I32" s="62"/>
      <c r="J32" s="62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x14ac:dyDescent="0.2">
      <c r="A33" s="38">
        <v>9</v>
      </c>
      <c r="B33" s="39"/>
      <c r="C33" s="97" t="s">
        <v>246</v>
      </c>
      <c r="D33" s="25" t="s">
        <v>68</v>
      </c>
      <c r="E33" s="98">
        <v>1</v>
      </c>
      <c r="F33" s="65"/>
      <c r="G33" s="62"/>
      <c r="H33" s="47"/>
      <c r="I33" s="62"/>
      <c r="J33" s="62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x14ac:dyDescent="0.2">
      <c r="A34" s="38">
        <v>10</v>
      </c>
      <c r="B34" s="39"/>
      <c r="C34" s="97" t="s">
        <v>247</v>
      </c>
      <c r="D34" s="25" t="s">
        <v>68</v>
      </c>
      <c r="E34" s="98">
        <v>1</v>
      </c>
      <c r="F34" s="65"/>
      <c r="G34" s="62"/>
      <c r="H34" s="47"/>
      <c r="I34" s="62"/>
      <c r="J34" s="62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2.5" x14ac:dyDescent="0.2">
      <c r="A35" s="38">
        <v>11</v>
      </c>
      <c r="B35" s="39"/>
      <c r="C35" s="93" t="s">
        <v>250</v>
      </c>
      <c r="D35" s="25" t="s">
        <v>82</v>
      </c>
      <c r="E35" s="98">
        <v>88.5</v>
      </c>
      <c r="F35" s="65"/>
      <c r="G35" s="62"/>
      <c r="H35" s="47">
        <f>ROUND(F35*G35,2)</f>
        <v>0</v>
      </c>
      <c r="I35" s="62"/>
      <c r="J35" s="62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>
        <v>12</v>
      </c>
      <c r="B36" s="39"/>
      <c r="C36" s="97" t="s">
        <v>251</v>
      </c>
      <c r="D36" s="25" t="s">
        <v>82</v>
      </c>
      <c r="E36" s="98">
        <f>E35*1.05</f>
        <v>92.93</v>
      </c>
      <c r="F36" s="65"/>
      <c r="G36" s="62"/>
      <c r="H36" s="47"/>
      <c r="I36" s="62"/>
      <c r="J36" s="62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2.5" x14ac:dyDescent="0.2">
      <c r="A37" s="38">
        <v>13</v>
      </c>
      <c r="B37" s="39"/>
      <c r="C37" s="97" t="s">
        <v>252</v>
      </c>
      <c r="D37" s="25" t="s">
        <v>68</v>
      </c>
      <c r="E37" s="98">
        <v>1</v>
      </c>
      <c r="F37" s="65"/>
      <c r="G37" s="62"/>
      <c r="H37" s="47"/>
      <c r="I37" s="62"/>
      <c r="J37" s="62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x14ac:dyDescent="0.2">
      <c r="A38" s="38">
        <v>14</v>
      </c>
      <c r="B38" s="39"/>
      <c r="C38" s="93" t="s">
        <v>253</v>
      </c>
      <c r="D38" s="25" t="s">
        <v>60</v>
      </c>
      <c r="E38" s="98">
        <v>144.30000000000001</v>
      </c>
      <c r="F38" s="65"/>
      <c r="G38" s="62"/>
      <c r="H38" s="47">
        <f>ROUND(F38*G38,2)</f>
        <v>0</v>
      </c>
      <c r="I38" s="62"/>
      <c r="J38" s="62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x14ac:dyDescent="0.2">
      <c r="A39" s="38">
        <v>15</v>
      </c>
      <c r="B39" s="39"/>
      <c r="C39" s="97" t="s">
        <v>254</v>
      </c>
      <c r="D39" s="25" t="s">
        <v>60</v>
      </c>
      <c r="E39" s="98">
        <f>105.3*1.1</f>
        <v>115.83</v>
      </c>
      <c r="F39" s="65"/>
      <c r="G39" s="62"/>
      <c r="H39" s="47"/>
      <c r="I39" s="62"/>
      <c r="J39" s="62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x14ac:dyDescent="0.2">
      <c r="A40" s="38">
        <v>16</v>
      </c>
      <c r="B40" s="39"/>
      <c r="C40" s="97" t="s">
        <v>255</v>
      </c>
      <c r="D40" s="25" t="s">
        <v>66</v>
      </c>
      <c r="E40" s="98">
        <f>E39*6</f>
        <v>694.98</v>
      </c>
      <c r="F40" s="65"/>
      <c r="G40" s="62"/>
      <c r="H40" s="47"/>
      <c r="I40" s="62"/>
      <c r="J40" s="62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38">
        <v>17</v>
      </c>
      <c r="B41" s="39"/>
      <c r="C41" s="97" t="s">
        <v>256</v>
      </c>
      <c r="D41" s="25" t="s">
        <v>66</v>
      </c>
      <c r="E41" s="98">
        <f>E38*1.1</f>
        <v>158.72999999999999</v>
      </c>
      <c r="F41" s="65"/>
      <c r="G41" s="62"/>
      <c r="H41" s="47"/>
      <c r="I41" s="62"/>
      <c r="J41" s="62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2.5" x14ac:dyDescent="0.2">
      <c r="A42" s="38">
        <v>18</v>
      </c>
      <c r="B42" s="39"/>
      <c r="C42" s="97" t="s">
        <v>257</v>
      </c>
      <c r="D42" s="25" t="s">
        <v>68</v>
      </c>
      <c r="E42" s="98">
        <v>1</v>
      </c>
      <c r="F42" s="65"/>
      <c r="G42" s="62"/>
      <c r="H42" s="47"/>
      <c r="I42" s="62"/>
      <c r="J42" s="62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2.5" x14ac:dyDescent="0.2">
      <c r="A43" s="38">
        <v>19</v>
      </c>
      <c r="B43" s="39"/>
      <c r="C43" s="97" t="s">
        <v>258</v>
      </c>
      <c r="D43" s="25" t="s">
        <v>75</v>
      </c>
      <c r="E43" s="98">
        <f>E38*0.25</f>
        <v>36.08</v>
      </c>
      <c r="F43" s="65"/>
      <c r="G43" s="62"/>
      <c r="H43" s="47"/>
      <c r="I43" s="62"/>
      <c r="J43" s="62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2.5" x14ac:dyDescent="0.2">
      <c r="A44" s="38">
        <v>20</v>
      </c>
      <c r="B44" s="39"/>
      <c r="C44" s="97" t="s">
        <v>259</v>
      </c>
      <c r="D44" s="25" t="s">
        <v>75</v>
      </c>
      <c r="E44" s="98">
        <f>E38*0.35</f>
        <v>50.51</v>
      </c>
      <c r="F44" s="65"/>
      <c r="G44" s="62"/>
      <c r="H44" s="47"/>
      <c r="I44" s="62"/>
      <c r="J44" s="62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x14ac:dyDescent="0.2">
      <c r="A45" s="94">
        <v>3</v>
      </c>
      <c r="B45" s="95"/>
      <c r="C45" s="96" t="s">
        <v>260</v>
      </c>
      <c r="D45" s="25"/>
      <c r="E45" s="98"/>
      <c r="F45" s="65"/>
      <c r="G45" s="62"/>
      <c r="H45" s="47"/>
      <c r="I45" s="62"/>
      <c r="J45" s="62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33.75" x14ac:dyDescent="0.2">
      <c r="A46" s="38">
        <v>1</v>
      </c>
      <c r="B46" s="39"/>
      <c r="C46" s="93" t="s">
        <v>261</v>
      </c>
      <c r="D46" s="25" t="s">
        <v>95</v>
      </c>
      <c r="E46" s="98">
        <v>3</v>
      </c>
      <c r="F46" s="65"/>
      <c r="G46" s="62"/>
      <c r="H46" s="47">
        <f t="shared" ref="H46" si="7">ROUND(F46*G46,2)</f>
        <v>0</v>
      </c>
      <c r="I46" s="62"/>
      <c r="J46" s="62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2.5" x14ac:dyDescent="0.2">
      <c r="A47" s="38">
        <v>2</v>
      </c>
      <c r="B47" s="39"/>
      <c r="C47" s="97" t="s">
        <v>262</v>
      </c>
      <c r="D47" s="25" t="s">
        <v>95</v>
      </c>
      <c r="E47" s="98">
        <v>3</v>
      </c>
      <c r="F47" s="65"/>
      <c r="G47" s="62"/>
      <c r="H47" s="47"/>
      <c r="I47" s="62"/>
      <c r="J47" s="62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x14ac:dyDescent="0.2">
      <c r="A48" s="38">
        <v>3</v>
      </c>
      <c r="B48" s="39"/>
      <c r="C48" s="97" t="s">
        <v>263</v>
      </c>
      <c r="D48" s="25" t="s">
        <v>68</v>
      </c>
      <c r="E48" s="98">
        <f>E46</f>
        <v>3</v>
      </c>
      <c r="F48" s="65"/>
      <c r="G48" s="62"/>
      <c r="H48" s="47"/>
      <c r="I48" s="62"/>
      <c r="J48" s="62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x14ac:dyDescent="0.2">
      <c r="A49" s="38">
        <v>4</v>
      </c>
      <c r="B49" s="39"/>
      <c r="C49" s="97" t="s">
        <v>264</v>
      </c>
      <c r="D49" s="25" t="s">
        <v>95</v>
      </c>
      <c r="E49" s="98">
        <f>E46</f>
        <v>3</v>
      </c>
      <c r="F49" s="65"/>
      <c r="G49" s="62"/>
      <c r="H49" s="47"/>
      <c r="I49" s="62"/>
      <c r="J49" s="62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>
        <v>5</v>
      </c>
      <c r="B50" s="39"/>
      <c r="C50" s="97" t="s">
        <v>265</v>
      </c>
      <c r="D50" s="25" t="s">
        <v>68</v>
      </c>
      <c r="E50" s="98">
        <f>E46</f>
        <v>3</v>
      </c>
      <c r="F50" s="65"/>
      <c r="G50" s="62"/>
      <c r="H50" s="47"/>
      <c r="I50" s="62"/>
      <c r="J50" s="62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x14ac:dyDescent="0.2">
      <c r="A51" s="38">
        <v>6</v>
      </c>
      <c r="B51" s="39"/>
      <c r="C51" s="97" t="s">
        <v>145</v>
      </c>
      <c r="D51" s="25" t="s">
        <v>68</v>
      </c>
      <c r="E51" s="98">
        <f>E46</f>
        <v>3</v>
      </c>
      <c r="F51" s="65"/>
      <c r="G51" s="62"/>
      <c r="H51" s="47"/>
      <c r="I51" s="62"/>
      <c r="J51" s="62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ht="22.5" x14ac:dyDescent="0.2">
      <c r="A52" s="38">
        <v>7</v>
      </c>
      <c r="B52" s="39"/>
      <c r="C52" s="93" t="s">
        <v>266</v>
      </c>
      <c r="D52" s="25" t="s">
        <v>68</v>
      </c>
      <c r="E52" s="98">
        <v>3</v>
      </c>
      <c r="F52" s="65"/>
      <c r="G52" s="62"/>
      <c r="H52" s="47">
        <f t="shared" ref="H52" si="8">ROUND(F52*G52,2)</f>
        <v>0</v>
      </c>
      <c r="I52" s="62"/>
      <c r="J52" s="62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>
        <v>8</v>
      </c>
      <c r="B53" s="39"/>
      <c r="C53" s="97" t="s">
        <v>267</v>
      </c>
      <c r="D53" s="25" t="s">
        <v>68</v>
      </c>
      <c r="E53" s="98">
        <f>E52</f>
        <v>3</v>
      </c>
      <c r="F53" s="65"/>
      <c r="G53" s="62"/>
      <c r="H53" s="47"/>
      <c r="I53" s="62"/>
      <c r="J53" s="62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>
        <v>9</v>
      </c>
      <c r="B54" s="39"/>
      <c r="C54" s="97" t="s">
        <v>145</v>
      </c>
      <c r="D54" s="25" t="s">
        <v>68</v>
      </c>
      <c r="E54" s="98">
        <f>E49</f>
        <v>3</v>
      </c>
      <c r="F54" s="65"/>
      <c r="G54" s="62"/>
      <c r="H54" s="47"/>
      <c r="I54" s="62"/>
      <c r="J54" s="62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2.5" x14ac:dyDescent="0.2">
      <c r="A55" s="38">
        <v>10</v>
      </c>
      <c r="B55" s="39"/>
      <c r="C55" s="93" t="s">
        <v>268</v>
      </c>
      <c r="D55" s="25" t="s">
        <v>95</v>
      </c>
      <c r="E55" s="98">
        <v>3</v>
      </c>
      <c r="F55" s="65"/>
      <c r="G55" s="62"/>
      <c r="H55" s="47">
        <f t="shared" ref="H55" si="9">ROUND(F55*G55,2)</f>
        <v>0</v>
      </c>
      <c r="I55" s="62"/>
      <c r="J55" s="62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22.5" x14ac:dyDescent="0.2">
      <c r="A56" s="38">
        <v>11</v>
      </c>
      <c r="B56" s="39"/>
      <c r="C56" s="97" t="s">
        <v>269</v>
      </c>
      <c r="D56" s="25" t="s">
        <v>95</v>
      </c>
      <c r="E56" s="98">
        <v>3</v>
      </c>
      <c r="F56" s="65"/>
      <c r="G56" s="62"/>
      <c r="H56" s="47"/>
      <c r="I56" s="62"/>
      <c r="J56" s="62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x14ac:dyDescent="0.2">
      <c r="A57" s="38">
        <v>12</v>
      </c>
      <c r="B57" s="39"/>
      <c r="C57" s="97" t="s">
        <v>263</v>
      </c>
      <c r="D57" s="25" t="s">
        <v>68</v>
      </c>
      <c r="E57" s="98">
        <f>E55</f>
        <v>3</v>
      </c>
      <c r="F57" s="65"/>
      <c r="G57" s="62"/>
      <c r="H57" s="47"/>
      <c r="I57" s="62"/>
      <c r="J57" s="62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x14ac:dyDescent="0.2">
      <c r="A58" s="38">
        <v>13</v>
      </c>
      <c r="B58" s="39"/>
      <c r="C58" s="97" t="s">
        <v>264</v>
      </c>
      <c r="D58" s="25" t="s">
        <v>95</v>
      </c>
      <c r="E58" s="98">
        <f>E55</f>
        <v>3</v>
      </c>
      <c r="F58" s="65"/>
      <c r="G58" s="62"/>
      <c r="H58" s="47"/>
      <c r="I58" s="62"/>
      <c r="J58" s="62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x14ac:dyDescent="0.2">
      <c r="A59" s="38">
        <v>14</v>
      </c>
      <c r="B59" s="39"/>
      <c r="C59" s="97" t="s">
        <v>265</v>
      </c>
      <c r="D59" s="25" t="s">
        <v>68</v>
      </c>
      <c r="E59" s="98">
        <f>E55</f>
        <v>3</v>
      </c>
      <c r="F59" s="65"/>
      <c r="G59" s="62"/>
      <c r="H59" s="47"/>
      <c r="I59" s="62"/>
      <c r="J59" s="62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x14ac:dyDescent="0.2">
      <c r="A60" s="38">
        <v>15</v>
      </c>
      <c r="B60" s="39"/>
      <c r="C60" s="97" t="s">
        <v>145</v>
      </c>
      <c r="D60" s="25" t="s">
        <v>68</v>
      </c>
      <c r="E60" s="98">
        <f>E55</f>
        <v>3</v>
      </c>
      <c r="F60" s="65"/>
      <c r="G60" s="62"/>
      <c r="H60" s="47"/>
      <c r="I60" s="62"/>
      <c r="J60" s="62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22.5" x14ac:dyDescent="0.2">
      <c r="A61" s="38">
        <v>16</v>
      </c>
      <c r="B61" s="39"/>
      <c r="C61" s="93" t="s">
        <v>270</v>
      </c>
      <c r="D61" s="25" t="s">
        <v>95</v>
      </c>
      <c r="E61" s="98">
        <v>3</v>
      </c>
      <c r="F61" s="65"/>
      <c r="G61" s="62"/>
      <c r="H61" s="47">
        <f t="shared" ref="H61" si="10">ROUND(F61*G61,2)</f>
        <v>0</v>
      </c>
      <c r="I61" s="62"/>
      <c r="J61" s="62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22.5" x14ac:dyDescent="0.2">
      <c r="A62" s="38">
        <v>17</v>
      </c>
      <c r="B62" s="39"/>
      <c r="C62" s="97" t="s">
        <v>271</v>
      </c>
      <c r="D62" s="25" t="s">
        <v>95</v>
      </c>
      <c r="E62" s="98">
        <v>3</v>
      </c>
      <c r="F62" s="65"/>
      <c r="G62" s="62"/>
      <c r="H62" s="47"/>
      <c r="I62" s="62"/>
      <c r="J62" s="62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x14ac:dyDescent="0.2">
      <c r="A63" s="38">
        <v>18</v>
      </c>
      <c r="B63" s="39"/>
      <c r="C63" s="97" t="s">
        <v>263</v>
      </c>
      <c r="D63" s="25" t="s">
        <v>68</v>
      </c>
      <c r="E63" s="98">
        <f>E61</f>
        <v>3</v>
      </c>
      <c r="F63" s="65"/>
      <c r="G63" s="62"/>
      <c r="H63" s="47"/>
      <c r="I63" s="62"/>
      <c r="J63" s="62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x14ac:dyDescent="0.2">
      <c r="A64" s="38">
        <v>19</v>
      </c>
      <c r="B64" s="39"/>
      <c r="C64" s="97" t="s">
        <v>264</v>
      </c>
      <c r="D64" s="25" t="s">
        <v>95</v>
      </c>
      <c r="E64" s="98">
        <f>E61</f>
        <v>3</v>
      </c>
      <c r="F64" s="65"/>
      <c r="G64" s="62"/>
      <c r="H64" s="47"/>
      <c r="I64" s="62"/>
      <c r="J64" s="62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x14ac:dyDescent="0.2">
      <c r="A65" s="38">
        <v>20</v>
      </c>
      <c r="B65" s="39"/>
      <c r="C65" s="97" t="s">
        <v>265</v>
      </c>
      <c r="D65" s="25" t="s">
        <v>68</v>
      </c>
      <c r="E65" s="98">
        <f>E61</f>
        <v>3</v>
      </c>
      <c r="F65" s="65"/>
      <c r="G65" s="62"/>
      <c r="H65" s="47"/>
      <c r="I65" s="62"/>
      <c r="J65" s="62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x14ac:dyDescent="0.2">
      <c r="A66" s="38">
        <v>21</v>
      </c>
      <c r="B66" s="39"/>
      <c r="C66" s="97" t="s">
        <v>145</v>
      </c>
      <c r="D66" s="25" t="s">
        <v>68</v>
      </c>
      <c r="E66" s="98">
        <f>E61</f>
        <v>3</v>
      </c>
      <c r="F66" s="65"/>
      <c r="G66" s="62"/>
      <c r="H66" s="47"/>
      <c r="I66" s="62"/>
      <c r="J66" s="62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22.5" x14ac:dyDescent="0.2">
      <c r="A67" s="38">
        <v>22</v>
      </c>
      <c r="B67" s="39"/>
      <c r="C67" s="93" t="s">
        <v>272</v>
      </c>
      <c r="D67" s="25" t="s">
        <v>95</v>
      </c>
      <c r="E67" s="98">
        <f>E68</f>
        <v>3</v>
      </c>
      <c r="F67" s="65"/>
      <c r="G67" s="62"/>
      <c r="H67" s="47">
        <f t="shared" ref="H67" si="11">ROUND(F67*G67,2)</f>
        <v>0</v>
      </c>
      <c r="I67" s="62"/>
      <c r="J67" s="62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22.5" x14ac:dyDescent="0.2">
      <c r="A68" s="38">
        <v>23</v>
      </c>
      <c r="B68" s="39"/>
      <c r="C68" s="97" t="s">
        <v>273</v>
      </c>
      <c r="D68" s="25" t="s">
        <v>95</v>
      </c>
      <c r="E68" s="98">
        <v>3</v>
      </c>
      <c r="F68" s="65"/>
      <c r="G68" s="62"/>
      <c r="H68" s="47"/>
      <c r="I68" s="62"/>
      <c r="J68" s="62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x14ac:dyDescent="0.2">
      <c r="A69" s="38">
        <v>24</v>
      </c>
      <c r="B69" s="39"/>
      <c r="C69" s="97" t="s">
        <v>263</v>
      </c>
      <c r="D69" s="25" t="s">
        <v>68</v>
      </c>
      <c r="E69" s="98">
        <f>E67</f>
        <v>3</v>
      </c>
      <c r="F69" s="65"/>
      <c r="G69" s="62"/>
      <c r="H69" s="47"/>
      <c r="I69" s="62"/>
      <c r="J69" s="62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x14ac:dyDescent="0.2">
      <c r="A70" s="38">
        <v>25</v>
      </c>
      <c r="B70" s="39"/>
      <c r="C70" s="97" t="s">
        <v>264</v>
      </c>
      <c r="D70" s="25" t="s">
        <v>95</v>
      </c>
      <c r="E70" s="98">
        <f>E67</f>
        <v>3</v>
      </c>
      <c r="F70" s="65"/>
      <c r="G70" s="62"/>
      <c r="H70" s="47"/>
      <c r="I70" s="62"/>
      <c r="J70" s="62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x14ac:dyDescent="0.2">
      <c r="A71" s="38">
        <v>26</v>
      </c>
      <c r="B71" s="39"/>
      <c r="C71" s="97" t="s">
        <v>265</v>
      </c>
      <c r="D71" s="25" t="s">
        <v>68</v>
      </c>
      <c r="E71" s="98">
        <f>E67</f>
        <v>3</v>
      </c>
      <c r="F71" s="65"/>
      <c r="G71" s="62"/>
      <c r="H71" s="47"/>
      <c r="I71" s="62"/>
      <c r="J71" s="62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x14ac:dyDescent="0.2">
      <c r="A72" s="38">
        <v>27</v>
      </c>
      <c r="B72" s="39"/>
      <c r="C72" s="97" t="s">
        <v>145</v>
      </c>
      <c r="D72" s="25" t="s">
        <v>68</v>
      </c>
      <c r="E72" s="98">
        <f>E67</f>
        <v>3</v>
      </c>
      <c r="F72" s="65"/>
      <c r="G72" s="62"/>
      <c r="H72" s="47"/>
      <c r="I72" s="62"/>
      <c r="J72" s="62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x14ac:dyDescent="0.2">
      <c r="A73" s="94">
        <v>4</v>
      </c>
      <c r="B73" s="95"/>
      <c r="C73" s="96" t="s">
        <v>210</v>
      </c>
      <c r="D73" s="25"/>
      <c r="E73" s="98"/>
      <c r="F73" s="65"/>
      <c r="G73" s="62"/>
      <c r="H73" s="47"/>
      <c r="I73" s="62"/>
      <c r="J73" s="62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</row>
    <row r="74" spans="1:16" ht="33.75" x14ac:dyDescent="0.2">
      <c r="A74" s="38">
        <v>1</v>
      </c>
      <c r="B74" s="39"/>
      <c r="C74" s="93" t="s">
        <v>274</v>
      </c>
      <c r="D74" s="25" t="s">
        <v>82</v>
      </c>
      <c r="E74" s="98">
        <f>355.7*2</f>
        <v>711.4</v>
      </c>
      <c r="F74" s="65"/>
      <c r="G74" s="62"/>
      <c r="H74" s="47">
        <f>ROUND(F74*G74,2)</f>
        <v>0</v>
      </c>
      <c r="I74" s="62"/>
      <c r="J74" s="62"/>
      <c r="K74" s="48">
        <f t="shared" ref="K74:K80" si="12">SUM(H74:J74)</f>
        <v>0</v>
      </c>
      <c r="L74" s="49">
        <f t="shared" ref="L74:L80" si="13">ROUND(E74*F74,2)</f>
        <v>0</v>
      </c>
      <c r="M74" s="47">
        <f t="shared" ref="M74:M80" si="14">ROUND(H74*E74,2)</f>
        <v>0</v>
      </c>
      <c r="N74" s="47">
        <f t="shared" ref="N74:N80" si="15">ROUND(I74*E74,2)</f>
        <v>0</v>
      </c>
      <c r="O74" s="47">
        <f t="shared" ref="O74:O80" si="16">ROUND(J74*E74,2)</f>
        <v>0</v>
      </c>
      <c r="P74" s="48">
        <f t="shared" ref="P74:P80" si="17">SUM(M74:O74)</f>
        <v>0</v>
      </c>
    </row>
    <row r="75" spans="1:16" x14ac:dyDescent="0.2">
      <c r="A75" s="38">
        <v>2</v>
      </c>
      <c r="B75" s="39"/>
      <c r="C75" s="97" t="s">
        <v>275</v>
      </c>
      <c r="D75" s="25" t="s">
        <v>82</v>
      </c>
      <c r="E75" s="98">
        <f>355.7*1.1</f>
        <v>391.27</v>
      </c>
      <c r="F75" s="65"/>
      <c r="G75" s="62"/>
      <c r="H75" s="47"/>
      <c r="I75" s="62"/>
      <c r="J75" s="62"/>
      <c r="K75" s="48">
        <f t="shared" si="12"/>
        <v>0</v>
      </c>
      <c r="L75" s="49">
        <f t="shared" si="13"/>
        <v>0</v>
      </c>
      <c r="M75" s="47">
        <f t="shared" si="14"/>
        <v>0</v>
      </c>
      <c r="N75" s="47">
        <f t="shared" si="15"/>
        <v>0</v>
      </c>
      <c r="O75" s="47">
        <f t="shared" si="16"/>
        <v>0</v>
      </c>
      <c r="P75" s="48">
        <f t="shared" si="17"/>
        <v>0</v>
      </c>
    </row>
    <row r="76" spans="1:16" x14ac:dyDescent="0.2">
      <c r="A76" s="38">
        <v>3</v>
      </c>
      <c r="B76" s="39"/>
      <c r="C76" s="97" t="s">
        <v>276</v>
      </c>
      <c r="D76" s="25" t="s">
        <v>82</v>
      </c>
      <c r="E76" s="98">
        <f>E75</f>
        <v>391.27</v>
      </c>
      <c r="F76" s="65"/>
      <c r="G76" s="62"/>
      <c r="H76" s="47"/>
      <c r="I76" s="62"/>
      <c r="J76" s="62"/>
      <c r="K76" s="48">
        <f t="shared" si="12"/>
        <v>0</v>
      </c>
      <c r="L76" s="49">
        <f t="shared" si="13"/>
        <v>0</v>
      </c>
      <c r="M76" s="47">
        <f t="shared" si="14"/>
        <v>0</v>
      </c>
      <c r="N76" s="47">
        <f t="shared" si="15"/>
        <v>0</v>
      </c>
      <c r="O76" s="47">
        <f t="shared" si="16"/>
        <v>0</v>
      </c>
      <c r="P76" s="48">
        <f t="shared" si="17"/>
        <v>0</v>
      </c>
    </row>
    <row r="77" spans="1:16" x14ac:dyDescent="0.2">
      <c r="A77" s="38">
        <v>4</v>
      </c>
      <c r="B77" s="39"/>
      <c r="C77" s="97" t="s">
        <v>145</v>
      </c>
      <c r="D77" s="25" t="s">
        <v>68</v>
      </c>
      <c r="E77" s="98">
        <v>1</v>
      </c>
      <c r="F77" s="65"/>
      <c r="G77" s="62"/>
      <c r="H77" s="47"/>
      <c r="I77" s="62"/>
      <c r="J77" s="62"/>
      <c r="K77" s="48">
        <f t="shared" si="12"/>
        <v>0</v>
      </c>
      <c r="L77" s="49">
        <f t="shared" si="13"/>
        <v>0</v>
      </c>
      <c r="M77" s="47">
        <f t="shared" si="14"/>
        <v>0</v>
      </c>
      <c r="N77" s="47">
        <f t="shared" si="15"/>
        <v>0</v>
      </c>
      <c r="O77" s="47">
        <f t="shared" si="16"/>
        <v>0</v>
      </c>
      <c r="P77" s="48">
        <f t="shared" si="17"/>
        <v>0</v>
      </c>
    </row>
    <row r="78" spans="1:16" ht="22.5" x14ac:dyDescent="0.2">
      <c r="A78" s="38">
        <v>5</v>
      </c>
      <c r="B78" s="39"/>
      <c r="C78" s="93" t="s">
        <v>277</v>
      </c>
      <c r="D78" s="25" t="s">
        <v>82</v>
      </c>
      <c r="E78" s="98">
        <v>720.2</v>
      </c>
      <c r="F78" s="65"/>
      <c r="G78" s="62"/>
      <c r="H78" s="47">
        <f>ROUND(F78*G78,2)</f>
        <v>0</v>
      </c>
      <c r="I78" s="62"/>
      <c r="J78" s="62"/>
      <c r="K78" s="48">
        <f t="shared" si="12"/>
        <v>0</v>
      </c>
      <c r="L78" s="49">
        <f t="shared" si="13"/>
        <v>0</v>
      </c>
      <c r="M78" s="47">
        <f t="shared" si="14"/>
        <v>0</v>
      </c>
      <c r="N78" s="47">
        <f t="shared" si="15"/>
        <v>0</v>
      </c>
      <c r="O78" s="47">
        <f t="shared" si="16"/>
        <v>0</v>
      </c>
      <c r="P78" s="48">
        <f t="shared" si="17"/>
        <v>0</v>
      </c>
    </row>
    <row r="79" spans="1:16" x14ac:dyDescent="0.2">
      <c r="A79" s="38">
        <v>6</v>
      </c>
      <c r="B79" s="39"/>
      <c r="C79" s="97" t="s">
        <v>276</v>
      </c>
      <c r="D79" s="25" t="s">
        <v>82</v>
      </c>
      <c r="E79" s="98">
        <f>E78*1.1</f>
        <v>792.22</v>
      </c>
      <c r="F79" s="65"/>
      <c r="G79" s="62"/>
      <c r="H79" s="47"/>
      <c r="I79" s="62"/>
      <c r="J79" s="62"/>
      <c r="K79" s="48">
        <f t="shared" si="12"/>
        <v>0</v>
      </c>
      <c r="L79" s="49">
        <f t="shared" si="13"/>
        <v>0</v>
      </c>
      <c r="M79" s="47">
        <f t="shared" si="14"/>
        <v>0</v>
      </c>
      <c r="N79" s="47">
        <f t="shared" si="15"/>
        <v>0</v>
      </c>
      <c r="O79" s="47">
        <f t="shared" si="16"/>
        <v>0</v>
      </c>
      <c r="P79" s="48">
        <f t="shared" si="17"/>
        <v>0</v>
      </c>
    </row>
    <row r="80" spans="1:16" ht="12" thickBot="1" x14ac:dyDescent="0.25">
      <c r="A80" s="38">
        <v>7</v>
      </c>
      <c r="B80" s="39"/>
      <c r="C80" s="97" t="s">
        <v>145</v>
      </c>
      <c r="D80" s="25" t="s">
        <v>68</v>
      </c>
      <c r="E80" s="98">
        <v>1</v>
      </c>
      <c r="F80" s="65"/>
      <c r="G80" s="62"/>
      <c r="H80" s="47"/>
      <c r="I80" s="62"/>
      <c r="J80" s="62"/>
      <c r="K80" s="48">
        <f t="shared" si="12"/>
        <v>0</v>
      </c>
      <c r="L80" s="49">
        <f t="shared" si="13"/>
        <v>0</v>
      </c>
      <c r="M80" s="47">
        <f t="shared" si="14"/>
        <v>0</v>
      </c>
      <c r="N80" s="47">
        <f t="shared" si="15"/>
        <v>0</v>
      </c>
      <c r="O80" s="47">
        <f t="shared" si="16"/>
        <v>0</v>
      </c>
      <c r="P80" s="48">
        <f t="shared" si="17"/>
        <v>0</v>
      </c>
    </row>
    <row r="81" spans="1:16" ht="12" customHeight="1" thickBot="1" x14ac:dyDescent="0.25">
      <c r="A81" s="156" t="s">
        <v>88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8"/>
      <c r="L81" s="66">
        <f>SUM(L14:L80)</f>
        <v>0</v>
      </c>
      <c r="M81" s="67">
        <f>SUM(M14:M80)</f>
        <v>0</v>
      </c>
      <c r="N81" s="67">
        <f>SUM(N14:N80)</f>
        <v>0</v>
      </c>
      <c r="O81" s="67">
        <f>SUM(O14:O80)</f>
        <v>0</v>
      </c>
      <c r="P81" s="68">
        <f>SUM(P14:P80)</f>
        <v>0</v>
      </c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1.1" customHeight="1" x14ac:dyDescent="0.2">
      <c r="A84" s="1" t="s">
        <v>17</v>
      </c>
      <c r="B84" s="17"/>
      <c r="C84" s="107"/>
      <c r="D84" s="107"/>
      <c r="E84" s="107"/>
      <c r="F84" s="107"/>
      <c r="G84" s="107"/>
      <c r="H84" s="107"/>
      <c r="I84" s="17"/>
      <c r="J84" s="17"/>
      <c r="K84" s="17"/>
      <c r="L84" s="17"/>
      <c r="M84" s="17"/>
      <c r="N84" s="17"/>
      <c r="O84" s="17"/>
      <c r="P84" s="17"/>
    </row>
    <row r="85" spans="1:16" ht="11.1" customHeight="1" x14ac:dyDescent="0.2">
      <c r="A85" s="17"/>
      <c r="B85" s="17"/>
      <c r="C85" s="108" t="s">
        <v>18</v>
      </c>
      <c r="D85" s="108"/>
      <c r="E85" s="108"/>
      <c r="F85" s="108"/>
      <c r="G85" s="108"/>
      <c r="H85" s="108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" t="s">
        <v>19</v>
      </c>
      <c r="B88" s="17"/>
      <c r="C88" s="107"/>
      <c r="D88" s="107"/>
      <c r="E88" s="107"/>
      <c r="F88" s="107"/>
      <c r="G88" s="107"/>
      <c r="H88" s="107"/>
      <c r="I88" s="17"/>
      <c r="J88" s="17"/>
      <c r="K88" s="17"/>
      <c r="L88" s="17"/>
      <c r="M88" s="17"/>
      <c r="N88" s="17"/>
      <c r="O88" s="17"/>
      <c r="P88" s="17"/>
    </row>
    <row r="89" spans="1:16" ht="11.1" customHeight="1" x14ac:dyDescent="0.2">
      <c r="A89" s="17"/>
      <c r="B89" s="17"/>
      <c r="C89" s="108" t="s">
        <v>18</v>
      </c>
      <c r="D89" s="108"/>
      <c r="E89" s="108"/>
      <c r="F89" s="108"/>
      <c r="G89" s="108"/>
      <c r="H89" s="108"/>
      <c r="I89" s="17"/>
      <c r="J89" s="17"/>
      <c r="K89" s="17"/>
      <c r="L89" s="17"/>
      <c r="M89" s="17"/>
      <c r="N89" s="17"/>
      <c r="O89" s="17"/>
      <c r="P89" s="17"/>
    </row>
    <row r="90" spans="1:16" ht="11.1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85" t="s">
        <v>20</v>
      </c>
      <c r="B91" s="86"/>
      <c r="C91" s="90"/>
      <c r="D91" s="8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I93" s="17"/>
      <c r="J93" s="17"/>
      <c r="K93" s="17"/>
      <c r="L93" s="17"/>
      <c r="M93" s="17"/>
      <c r="N93" s="17"/>
      <c r="O93" s="17"/>
      <c r="P93" s="17"/>
    </row>
  </sheetData>
  <mergeCells count="22">
    <mergeCell ref="C2:I2"/>
    <mergeCell ref="C3:I3"/>
    <mergeCell ref="D5:L5"/>
    <mergeCell ref="D6:L6"/>
    <mergeCell ref="D7:L7"/>
    <mergeCell ref="C4:I4"/>
    <mergeCell ref="C85:H85"/>
    <mergeCell ref="C89:H89"/>
    <mergeCell ref="C88:H88"/>
    <mergeCell ref="N9:O9"/>
    <mergeCell ref="C12:C13"/>
    <mergeCell ref="D12:D13"/>
    <mergeCell ref="E12:E13"/>
    <mergeCell ref="L12:P12"/>
    <mergeCell ref="A9:I9"/>
    <mergeCell ref="F12:K12"/>
    <mergeCell ref="J9:M9"/>
    <mergeCell ref="D8:L8"/>
    <mergeCell ref="A81:K81"/>
    <mergeCell ref="A12:A13"/>
    <mergeCell ref="B12:B13"/>
    <mergeCell ref="C84:H84"/>
  </mergeCells>
  <conditionalFormatting sqref="I14:J80 A14:G80">
    <cfRule type="cellIs" dxfId="122" priority="36" operator="equal">
      <formula>0</formula>
    </cfRule>
  </conditionalFormatting>
  <conditionalFormatting sqref="N9:O9 K14:P80 H14:H80">
    <cfRule type="cellIs" dxfId="121" priority="35" operator="equal">
      <formula>0</formula>
    </cfRule>
  </conditionalFormatting>
  <conditionalFormatting sqref="C2:I2">
    <cfRule type="cellIs" dxfId="120" priority="32" operator="equal">
      <formula>0</formula>
    </cfRule>
  </conditionalFormatting>
  <conditionalFormatting sqref="O10">
    <cfRule type="cellIs" dxfId="119" priority="31" operator="equal">
      <formula>"20__. gada __. _________"</formula>
    </cfRule>
  </conditionalFormatting>
  <conditionalFormatting sqref="L81:P81">
    <cfRule type="cellIs" dxfId="118" priority="25" operator="equal">
      <formula>0</formula>
    </cfRule>
  </conditionalFormatting>
  <conditionalFormatting sqref="C4:I4">
    <cfRule type="cellIs" dxfId="117" priority="24" operator="equal">
      <formula>0</formula>
    </cfRule>
  </conditionalFormatting>
  <conditionalFormatting sqref="D5:L8">
    <cfRule type="cellIs" dxfId="116" priority="21" operator="equal">
      <formula>0</formula>
    </cfRule>
  </conditionalFormatting>
  <conditionalFormatting sqref="P10">
    <cfRule type="cellIs" dxfId="115" priority="17" operator="equal">
      <formula>"20__. gada __. _________"</formula>
    </cfRule>
  </conditionalFormatting>
  <conditionalFormatting sqref="D1">
    <cfRule type="cellIs" dxfId="114" priority="11" operator="equal">
      <formula>0</formula>
    </cfRule>
  </conditionalFormatting>
  <conditionalFormatting sqref="A9">
    <cfRule type="containsText" dxfId="113" priority="1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81:K81">
    <cfRule type="containsText" dxfId="112" priority="5" operator="containsText" text="Tiešās izmaksas kopā, t. sk. darba devēja sociālais nodoklis __.__% ">
      <formula>NOT(ISERROR(SEARCH("Tiešās izmaksas kopā, t. sk. darba devēja sociālais nodoklis __.__% ",A81)))</formula>
    </cfRule>
  </conditionalFormatting>
  <conditionalFormatting sqref="C88:H88">
    <cfRule type="cellIs" dxfId="111" priority="4" operator="equal">
      <formula>0</formula>
    </cfRule>
  </conditionalFormatting>
  <conditionalFormatting sqref="C84:H84">
    <cfRule type="cellIs" dxfId="110" priority="3" operator="equal">
      <formula>0</formula>
    </cfRule>
  </conditionalFormatting>
  <conditionalFormatting sqref="C91">
    <cfRule type="cellIs" dxfId="109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56A70FD-7B0E-1241-9936-3EF5976BC19B}">
            <xm:f>NOT(ISERROR(SEARCH("Sertifikāta Nr. _________________________________",A91)))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P39"/>
  <sheetViews>
    <sheetView workbookViewId="0">
      <selection activeCell="I14" sqref="I14:J26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42</v>
      </c>
      <c r="D1" s="50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278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1" t="s">
        <v>22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61"/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7</v>
      </c>
      <c r="D6" s="173" t="str">
        <f>'Kops a'!D7</f>
        <v>Daudzdzīvokļu dzīvojamās mājas, Dakteru ielā 24, Smiltenē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9</v>
      </c>
      <c r="D7" s="173" t="str">
        <f>'Kops a'!D8</f>
        <v>Dakteru iela 24, Smiltene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25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44</v>
      </c>
      <c r="B9" s="159"/>
      <c r="C9" s="159"/>
      <c r="D9" s="159"/>
      <c r="E9" s="159"/>
      <c r="F9" s="159"/>
      <c r="G9" s="159"/>
      <c r="H9" s="159"/>
      <c r="I9" s="159"/>
      <c r="J9" s="165" t="s">
        <v>45</v>
      </c>
      <c r="K9" s="165"/>
      <c r="L9" s="165"/>
      <c r="M9" s="165"/>
      <c r="N9" s="172">
        <f>P27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>
        <f>A33</f>
        <v>0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9" t="s">
        <v>28</v>
      </c>
      <c r="B12" s="167" t="s">
        <v>46</v>
      </c>
      <c r="C12" s="163" t="s">
        <v>47</v>
      </c>
      <c r="D12" s="170" t="s">
        <v>48</v>
      </c>
      <c r="E12" s="154" t="s">
        <v>49</v>
      </c>
      <c r="F12" s="162" t="s">
        <v>50</v>
      </c>
      <c r="G12" s="163"/>
      <c r="H12" s="163"/>
      <c r="I12" s="163"/>
      <c r="J12" s="163"/>
      <c r="K12" s="164"/>
      <c r="L12" s="162" t="s">
        <v>51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5"/>
      <c r="F13" s="36" t="s">
        <v>52</v>
      </c>
      <c r="G13" s="37" t="s">
        <v>53</v>
      </c>
      <c r="H13" s="37" t="s">
        <v>54</v>
      </c>
      <c r="I13" s="37" t="s">
        <v>55</v>
      </c>
      <c r="J13" s="37" t="s">
        <v>56</v>
      </c>
      <c r="K13" s="61" t="s">
        <v>57</v>
      </c>
      <c r="L13" s="36" t="s">
        <v>52</v>
      </c>
      <c r="M13" s="37" t="s">
        <v>54</v>
      </c>
      <c r="N13" s="37" t="s">
        <v>55</v>
      </c>
      <c r="O13" s="37" t="s">
        <v>56</v>
      </c>
      <c r="P13" s="61" t="s">
        <v>57</v>
      </c>
    </row>
    <row r="14" spans="1:16" x14ac:dyDescent="0.2">
      <c r="A14" s="94">
        <v>1</v>
      </c>
      <c r="B14" s="95"/>
      <c r="C14" s="96" t="s">
        <v>58</v>
      </c>
      <c r="D14" s="25"/>
      <c r="E14" s="64"/>
      <c r="F14" s="65"/>
      <c r="G14" s="62"/>
      <c r="H14" s="47"/>
      <c r="I14" s="62"/>
      <c r="J14" s="62"/>
      <c r="K14" s="63">
        <f>SUM(H14:J14)</f>
        <v>0</v>
      </c>
      <c r="L14" s="65">
        <f>ROUND(E14*F14,2)</f>
        <v>0</v>
      </c>
      <c r="M14" s="62">
        <f>ROUND(H14*E14,2)</f>
        <v>0</v>
      </c>
      <c r="N14" s="62">
        <f>ROUND(I14*E14,2)</f>
        <v>0</v>
      </c>
      <c r="O14" s="62">
        <f>ROUND(J14*E14,2)</f>
        <v>0</v>
      </c>
      <c r="P14" s="63">
        <f>SUM(M14:O14)</f>
        <v>0</v>
      </c>
    </row>
    <row r="15" spans="1:16" ht="22.5" x14ac:dyDescent="0.2">
      <c r="A15" s="38">
        <v>1</v>
      </c>
      <c r="B15" s="39"/>
      <c r="C15" s="93" t="s">
        <v>279</v>
      </c>
      <c r="D15" s="25" t="s">
        <v>60</v>
      </c>
      <c r="E15" s="98">
        <f>2*36+32.08</f>
        <v>104.08</v>
      </c>
      <c r="F15" s="65"/>
      <c r="G15" s="62"/>
      <c r="H15" s="47">
        <f t="shared" ref="H15:H16" si="0">ROUND(F15*G15,2)</f>
        <v>0</v>
      </c>
      <c r="I15" s="62"/>
      <c r="J15" s="62"/>
      <c r="K15" s="48">
        <f t="shared" ref="K15:K26" si="1">SUM(H15:J15)</f>
        <v>0</v>
      </c>
      <c r="L15" s="49">
        <f t="shared" ref="L15:L26" si="2">ROUND(E15*F15,2)</f>
        <v>0</v>
      </c>
      <c r="M15" s="47">
        <f t="shared" ref="M15:M26" si="3">ROUND(H15*E15,2)</f>
        <v>0</v>
      </c>
      <c r="N15" s="47">
        <f t="shared" ref="N15:N26" si="4">ROUND(I15*E15,2)</f>
        <v>0</v>
      </c>
      <c r="O15" s="47">
        <f t="shared" ref="O15:O26" si="5">ROUND(J15*E15,2)</f>
        <v>0</v>
      </c>
      <c r="P15" s="48">
        <f t="shared" ref="P15:P26" si="6">SUM(M15:O15)</f>
        <v>0</v>
      </c>
    </row>
    <row r="16" spans="1:16" x14ac:dyDescent="0.2">
      <c r="A16" s="38">
        <v>2</v>
      </c>
      <c r="B16" s="39"/>
      <c r="C16" s="93" t="s">
        <v>280</v>
      </c>
      <c r="D16" s="25" t="s">
        <v>60</v>
      </c>
      <c r="E16" s="98">
        <f>((15.8*13.1+2.2*7.84)+(14.1*5+3.3))*3-E15</f>
        <v>790</v>
      </c>
      <c r="F16" s="65"/>
      <c r="G16" s="62"/>
      <c r="H16" s="47">
        <f t="shared" si="0"/>
        <v>0</v>
      </c>
      <c r="I16" s="62"/>
      <c r="J16" s="62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94">
        <v>2</v>
      </c>
      <c r="B17" s="95"/>
      <c r="C17" s="96" t="s">
        <v>281</v>
      </c>
      <c r="D17" s="25"/>
      <c r="E17" s="98"/>
      <c r="F17" s="65"/>
      <c r="G17" s="62"/>
      <c r="H17" s="47"/>
      <c r="I17" s="62"/>
      <c r="J17" s="62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2.5" x14ac:dyDescent="0.2">
      <c r="A18" s="38">
        <v>1</v>
      </c>
      <c r="B18" s="39"/>
      <c r="C18" s="93" t="s">
        <v>282</v>
      </c>
      <c r="D18" s="25" t="s">
        <v>60</v>
      </c>
      <c r="E18" s="98">
        <f>E16</f>
        <v>790</v>
      </c>
      <c r="F18" s="65"/>
      <c r="G18" s="62"/>
      <c r="H18" s="47">
        <f t="shared" ref="H18:H26" si="7">ROUND(F18*G18,2)</f>
        <v>0</v>
      </c>
      <c r="I18" s="62"/>
      <c r="J18" s="62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2</v>
      </c>
      <c r="B19" s="39"/>
      <c r="C19" s="97" t="s">
        <v>283</v>
      </c>
      <c r="D19" s="25" t="s">
        <v>66</v>
      </c>
      <c r="E19" s="98">
        <f>E18*3.5*3</f>
        <v>8295</v>
      </c>
      <c r="F19" s="65"/>
      <c r="G19" s="62"/>
      <c r="H19" s="47"/>
      <c r="I19" s="62"/>
      <c r="J19" s="62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3</v>
      </c>
      <c r="B20" s="39"/>
      <c r="C20" s="97" t="s">
        <v>284</v>
      </c>
      <c r="D20" s="25" t="s">
        <v>66</v>
      </c>
      <c r="E20" s="98">
        <f>E18*1.1</f>
        <v>869</v>
      </c>
      <c r="F20" s="65"/>
      <c r="G20" s="62"/>
      <c r="H20" s="47"/>
      <c r="I20" s="62"/>
      <c r="J20" s="62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4</v>
      </c>
      <c r="B21" s="39"/>
      <c r="C21" s="97" t="s">
        <v>145</v>
      </c>
      <c r="D21" s="25" t="s">
        <v>68</v>
      </c>
      <c r="E21" s="98">
        <v>1</v>
      </c>
      <c r="F21" s="65"/>
      <c r="G21" s="62"/>
      <c r="H21" s="47"/>
      <c r="I21" s="62"/>
      <c r="J21" s="62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2.5" x14ac:dyDescent="0.2">
      <c r="A22" s="38">
        <v>5</v>
      </c>
      <c r="B22" s="39"/>
      <c r="C22" s="97" t="s">
        <v>258</v>
      </c>
      <c r="D22" s="25" t="s">
        <v>75</v>
      </c>
      <c r="E22" s="98">
        <f>E18*0.25</f>
        <v>197.5</v>
      </c>
      <c r="F22" s="65"/>
      <c r="G22" s="62"/>
      <c r="H22" s="47"/>
      <c r="I22" s="62"/>
      <c r="J22" s="62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2.5" x14ac:dyDescent="0.2">
      <c r="A23" s="38">
        <v>6</v>
      </c>
      <c r="B23" s="39"/>
      <c r="C23" s="97" t="s">
        <v>259</v>
      </c>
      <c r="D23" s="25" t="s">
        <v>75</v>
      </c>
      <c r="E23" s="98">
        <f>E18*0.35</f>
        <v>276.5</v>
      </c>
      <c r="F23" s="65"/>
      <c r="G23" s="62"/>
      <c r="H23" s="47"/>
      <c r="I23" s="62"/>
      <c r="J23" s="62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2.5" x14ac:dyDescent="0.2">
      <c r="A24" s="38">
        <v>7</v>
      </c>
      <c r="B24" s="39"/>
      <c r="C24" s="93" t="s">
        <v>285</v>
      </c>
      <c r="D24" s="25" t="s">
        <v>68</v>
      </c>
      <c r="E24" s="98">
        <v>3</v>
      </c>
      <c r="F24" s="65"/>
      <c r="G24" s="62"/>
      <c r="H24" s="47">
        <f t="shared" si="7"/>
        <v>0</v>
      </c>
      <c r="I24" s="62"/>
      <c r="J24" s="62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8</v>
      </c>
      <c r="B25" s="39"/>
      <c r="C25" s="93" t="s">
        <v>286</v>
      </c>
      <c r="D25" s="25" t="s">
        <v>68</v>
      </c>
      <c r="E25" s="98">
        <v>3</v>
      </c>
      <c r="F25" s="65"/>
      <c r="G25" s="62"/>
      <c r="H25" s="47">
        <f t="shared" si="7"/>
        <v>0</v>
      </c>
      <c r="I25" s="62"/>
      <c r="J25" s="62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12" thickBot="1" x14ac:dyDescent="0.25">
      <c r="A26" s="38">
        <v>9</v>
      </c>
      <c r="B26" s="39"/>
      <c r="C26" s="93" t="s">
        <v>287</v>
      </c>
      <c r="D26" s="25" t="s">
        <v>60</v>
      </c>
      <c r="E26" s="98">
        <f>(14.1*4+14.1-3+3.3)*3</f>
        <v>212.4</v>
      </c>
      <c r="F26" s="65"/>
      <c r="G26" s="62"/>
      <c r="H26" s="47">
        <f t="shared" si="7"/>
        <v>0</v>
      </c>
      <c r="I26" s="62"/>
      <c r="J26" s="62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12" customHeight="1" thickBot="1" x14ac:dyDescent="0.25">
      <c r="A27" s="156" t="s">
        <v>88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8"/>
      <c r="L27" s="66">
        <f>SUM(L14:L26)</f>
        <v>0</v>
      </c>
      <c r="M27" s="67">
        <f>SUM(M14:M26)</f>
        <v>0</v>
      </c>
      <c r="N27" s="67">
        <f>SUM(N14:N26)</f>
        <v>0</v>
      </c>
      <c r="O27" s="67">
        <f>SUM(O14:O26)</f>
        <v>0</v>
      </c>
      <c r="P27" s="68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1.1" customHeight="1" x14ac:dyDescent="0.2">
      <c r="A30" s="1" t="s">
        <v>17</v>
      </c>
      <c r="B30" s="17"/>
      <c r="C30" s="107"/>
      <c r="D30" s="107"/>
      <c r="E30" s="107"/>
      <c r="F30" s="107"/>
      <c r="G30" s="107"/>
      <c r="H30" s="107"/>
      <c r="I30" s="17"/>
      <c r="J30" s="17"/>
      <c r="K30" s="17"/>
      <c r="L30" s="17"/>
      <c r="M30" s="17"/>
      <c r="N30" s="17"/>
      <c r="O30" s="17"/>
      <c r="P30" s="17"/>
    </row>
    <row r="31" spans="1:16" ht="11.1" customHeight="1" x14ac:dyDescent="0.2">
      <c r="A31" s="17"/>
      <c r="B31" s="17"/>
      <c r="C31" s="108" t="s">
        <v>18</v>
      </c>
      <c r="D31" s="108"/>
      <c r="E31" s="108"/>
      <c r="F31" s="108"/>
      <c r="G31" s="108"/>
      <c r="H31" s="108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" t="s">
        <v>19</v>
      </c>
      <c r="B34" s="17"/>
      <c r="C34" s="107"/>
      <c r="D34" s="107"/>
      <c r="E34" s="107"/>
      <c r="F34" s="107"/>
      <c r="G34" s="107"/>
      <c r="H34" s="107"/>
      <c r="I34" s="17"/>
      <c r="J34" s="17"/>
      <c r="K34" s="17"/>
      <c r="L34" s="17"/>
      <c r="M34" s="17"/>
      <c r="N34" s="17"/>
      <c r="O34" s="17"/>
      <c r="P34" s="17"/>
    </row>
    <row r="35" spans="1:16" ht="11.1" customHeight="1" x14ac:dyDescent="0.2">
      <c r="A35" s="17"/>
      <c r="B35" s="17"/>
      <c r="C35" s="108" t="s">
        <v>18</v>
      </c>
      <c r="D35" s="108"/>
      <c r="E35" s="108"/>
      <c r="F35" s="108"/>
      <c r="G35" s="108"/>
      <c r="H35" s="108"/>
      <c r="I35" s="17"/>
      <c r="J35" s="17"/>
      <c r="K35" s="17"/>
      <c r="L35" s="17"/>
      <c r="M35" s="17"/>
      <c r="N35" s="17"/>
      <c r="O35" s="17"/>
      <c r="P35" s="17"/>
    </row>
    <row r="36" spans="1:16" ht="11.1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85" t="s">
        <v>20</v>
      </c>
      <c r="B37" s="86"/>
      <c r="C37" s="90"/>
      <c r="D37" s="8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2:I2"/>
    <mergeCell ref="C3:I3"/>
    <mergeCell ref="D5:L5"/>
    <mergeCell ref="D6:L6"/>
    <mergeCell ref="D7:L7"/>
    <mergeCell ref="C4:I4"/>
    <mergeCell ref="C31:H31"/>
    <mergeCell ref="C35:H35"/>
    <mergeCell ref="C34:H34"/>
    <mergeCell ref="N9:O9"/>
    <mergeCell ref="C12:C13"/>
    <mergeCell ref="D12:D13"/>
    <mergeCell ref="E12:E13"/>
    <mergeCell ref="L12:P12"/>
    <mergeCell ref="A9:I9"/>
    <mergeCell ref="F12:K12"/>
    <mergeCell ref="J9:M9"/>
    <mergeCell ref="D8:L8"/>
    <mergeCell ref="A27:K27"/>
    <mergeCell ref="A12:A13"/>
    <mergeCell ref="B12:B13"/>
    <mergeCell ref="C30:H30"/>
  </mergeCells>
  <conditionalFormatting sqref="I14:J26 A14:G26">
    <cfRule type="cellIs" dxfId="107" priority="36" operator="equal">
      <formula>0</formula>
    </cfRule>
  </conditionalFormatting>
  <conditionalFormatting sqref="N9:O9 K14:P26 H14:H26">
    <cfRule type="cellIs" dxfId="106" priority="35" operator="equal">
      <formula>0</formula>
    </cfRule>
  </conditionalFormatting>
  <conditionalFormatting sqref="C2:I2">
    <cfRule type="cellIs" dxfId="105" priority="32" operator="equal">
      <formula>0</formula>
    </cfRule>
  </conditionalFormatting>
  <conditionalFormatting sqref="O10">
    <cfRule type="cellIs" dxfId="104" priority="31" operator="equal">
      <formula>"20__. gada __. _________"</formula>
    </cfRule>
  </conditionalFormatting>
  <conditionalFormatting sqref="L27:P27">
    <cfRule type="cellIs" dxfId="103" priority="25" operator="equal">
      <formula>0</formula>
    </cfRule>
  </conditionalFormatting>
  <conditionalFormatting sqref="C4:I4">
    <cfRule type="cellIs" dxfId="102" priority="24" operator="equal">
      <formula>0</formula>
    </cfRule>
  </conditionalFormatting>
  <conditionalFormatting sqref="D5:L8">
    <cfRule type="cellIs" dxfId="101" priority="20" operator="equal">
      <formula>0</formula>
    </cfRule>
  </conditionalFormatting>
  <conditionalFormatting sqref="P10">
    <cfRule type="cellIs" dxfId="100" priority="16" operator="equal">
      <formula>"20__. gada __. _________"</formula>
    </cfRule>
  </conditionalFormatting>
  <conditionalFormatting sqref="D1">
    <cfRule type="cellIs" dxfId="99" priority="10" operator="equal">
      <formula>0</formula>
    </cfRule>
  </conditionalFormatting>
  <conditionalFormatting sqref="A9">
    <cfRule type="containsText" dxfId="98" priority="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7:K27">
    <cfRule type="containsText" dxfId="97" priority="5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C34:H34">
    <cfRule type="cellIs" dxfId="96" priority="4" operator="equal">
      <formula>0</formula>
    </cfRule>
  </conditionalFormatting>
  <conditionalFormatting sqref="C30:H30">
    <cfRule type="cellIs" dxfId="95" priority="3" operator="equal">
      <formula>0</formula>
    </cfRule>
  </conditionalFormatting>
  <conditionalFormatting sqref="C37">
    <cfRule type="cellIs" dxfId="9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15FA4E8-24C9-D34A-A3E1-F8014BAFBC36}">
            <xm:f>NOT(ISERROR(SEARCH("Sertifikāta Nr. _________________________________",A37)))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</sheetPr>
  <dimension ref="A1:V48"/>
  <sheetViews>
    <sheetView topLeftCell="A2" workbookViewId="0">
      <selection activeCell="E29" sqref="E29"/>
    </sheetView>
  </sheetViews>
  <sheetFormatPr defaultColWidth="9.140625" defaultRowHeight="11.25" x14ac:dyDescent="0.2"/>
  <cols>
    <col min="1" max="1" width="4.42578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7" width="18" style="1" customWidth="1"/>
    <col min="18" max="16384" width="9.140625" style="1"/>
  </cols>
  <sheetData>
    <row r="1" spans="1:16" x14ac:dyDescent="0.2">
      <c r="A1" s="23"/>
      <c r="B1" s="23"/>
      <c r="C1" s="27" t="s">
        <v>42</v>
      </c>
      <c r="D1" s="50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0" t="s">
        <v>288</v>
      </c>
      <c r="D2" s="160"/>
      <c r="E2" s="160"/>
      <c r="F2" s="160"/>
      <c r="G2" s="160"/>
      <c r="H2" s="160"/>
      <c r="I2" s="160"/>
      <c r="J2" s="29"/>
    </row>
    <row r="3" spans="1:16" x14ac:dyDescent="0.2">
      <c r="A3" s="30"/>
      <c r="B3" s="30"/>
      <c r="C3" s="151" t="s">
        <v>22</v>
      </c>
      <c r="D3" s="151"/>
      <c r="E3" s="151"/>
      <c r="F3" s="151"/>
      <c r="G3" s="151"/>
      <c r="H3" s="151"/>
      <c r="I3" s="151"/>
      <c r="J3" s="30"/>
    </row>
    <row r="4" spans="1:16" x14ac:dyDescent="0.2">
      <c r="A4" s="30"/>
      <c r="B4" s="30"/>
      <c r="C4" s="161"/>
      <c r="D4" s="161"/>
      <c r="E4" s="161"/>
      <c r="F4" s="161"/>
      <c r="G4" s="161"/>
      <c r="H4" s="161"/>
      <c r="I4" s="161"/>
      <c r="J4" s="30"/>
    </row>
    <row r="5" spans="1:16" x14ac:dyDescent="0.2">
      <c r="A5" s="23"/>
      <c r="B5" s="23"/>
      <c r="C5" s="27" t="s">
        <v>5</v>
      </c>
      <c r="D5" s="173" t="str">
        <f>'Kops a'!D6</f>
        <v>Daudzdzīvokļu dzīvojamās mājas vienkāršotas fasādes atjaunošana</v>
      </c>
      <c r="E5" s="173"/>
      <c r="F5" s="173"/>
      <c r="G5" s="173"/>
      <c r="H5" s="173"/>
      <c r="I5" s="173"/>
      <c r="J5" s="173"/>
      <c r="K5" s="173"/>
      <c r="L5" s="173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7</v>
      </c>
      <c r="D6" s="173" t="str">
        <f>'Kops a'!D7</f>
        <v>Daudzdzīvokļu dzīvojamās mājas, Dakteru ielā 24, Smiltenē vienkāršotas fasādes atjaunošana</v>
      </c>
      <c r="E6" s="173"/>
      <c r="F6" s="173"/>
      <c r="G6" s="173"/>
      <c r="H6" s="173"/>
      <c r="I6" s="173"/>
      <c r="J6" s="173"/>
      <c r="K6" s="173"/>
      <c r="L6" s="173"/>
      <c r="M6" s="17"/>
      <c r="N6" s="17"/>
      <c r="O6" s="17"/>
      <c r="P6" s="17"/>
    </row>
    <row r="7" spans="1:16" x14ac:dyDescent="0.2">
      <c r="A7" s="23"/>
      <c r="B7" s="23"/>
      <c r="C7" s="27" t="s">
        <v>9</v>
      </c>
      <c r="D7" s="173" t="str">
        <f>'Kops a'!D8</f>
        <v>Dakteru iela 24, Smiltene</v>
      </c>
      <c r="E7" s="173"/>
      <c r="F7" s="173"/>
      <c r="G7" s="173"/>
      <c r="H7" s="173"/>
      <c r="I7" s="173"/>
      <c r="J7" s="173"/>
      <c r="K7" s="173"/>
      <c r="L7" s="173"/>
      <c r="M7" s="17"/>
      <c r="N7" s="17"/>
      <c r="O7" s="17"/>
      <c r="P7" s="17"/>
    </row>
    <row r="8" spans="1:16" x14ac:dyDescent="0.2">
      <c r="A8" s="23"/>
      <c r="B8" s="23"/>
      <c r="C8" s="4" t="s">
        <v>25</v>
      </c>
      <c r="D8" s="173">
        <f>'Kops a'!D9</f>
        <v>0</v>
      </c>
      <c r="E8" s="173"/>
      <c r="F8" s="173"/>
      <c r="G8" s="173"/>
      <c r="H8" s="173"/>
      <c r="I8" s="173"/>
      <c r="J8" s="173"/>
      <c r="K8" s="173"/>
      <c r="L8" s="173"/>
      <c r="M8" s="17"/>
      <c r="N8" s="17"/>
      <c r="O8" s="17"/>
      <c r="P8" s="17"/>
    </row>
    <row r="9" spans="1:16" ht="11.25" customHeight="1" x14ac:dyDescent="0.2">
      <c r="A9" s="159" t="s">
        <v>44</v>
      </c>
      <c r="B9" s="159"/>
      <c r="C9" s="159"/>
      <c r="D9" s="159"/>
      <c r="E9" s="159"/>
      <c r="F9" s="159"/>
      <c r="G9" s="159"/>
      <c r="H9" s="159"/>
      <c r="I9" s="159"/>
      <c r="J9" s="165" t="s">
        <v>45</v>
      </c>
      <c r="K9" s="165"/>
      <c r="L9" s="165"/>
      <c r="M9" s="165"/>
      <c r="N9" s="172">
        <f>P36</f>
        <v>0</v>
      </c>
      <c r="O9" s="172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>
        <f>A42</f>
        <v>0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9" t="s">
        <v>28</v>
      </c>
      <c r="B12" s="167" t="s">
        <v>46</v>
      </c>
      <c r="C12" s="163" t="s">
        <v>47</v>
      </c>
      <c r="D12" s="170" t="s">
        <v>48</v>
      </c>
      <c r="E12" s="154" t="s">
        <v>49</v>
      </c>
      <c r="F12" s="162" t="s">
        <v>50</v>
      </c>
      <c r="G12" s="163"/>
      <c r="H12" s="163"/>
      <c r="I12" s="163"/>
      <c r="J12" s="163"/>
      <c r="K12" s="164"/>
      <c r="L12" s="162" t="s">
        <v>51</v>
      </c>
      <c r="M12" s="163"/>
      <c r="N12" s="163"/>
      <c r="O12" s="163"/>
      <c r="P12" s="164"/>
    </row>
    <row r="13" spans="1:16" ht="126.75" customHeight="1" thickBot="1" x14ac:dyDescent="0.25">
      <c r="A13" s="166"/>
      <c r="B13" s="168"/>
      <c r="C13" s="169"/>
      <c r="D13" s="171"/>
      <c r="E13" s="155"/>
      <c r="F13" s="36" t="s">
        <v>52</v>
      </c>
      <c r="G13" s="37" t="s">
        <v>53</v>
      </c>
      <c r="H13" s="37" t="s">
        <v>54</v>
      </c>
      <c r="I13" s="37" t="s">
        <v>55</v>
      </c>
      <c r="J13" s="37" t="s">
        <v>56</v>
      </c>
      <c r="K13" s="61" t="s">
        <v>57</v>
      </c>
      <c r="L13" s="36" t="s">
        <v>52</v>
      </c>
      <c r="M13" s="37" t="s">
        <v>54</v>
      </c>
      <c r="N13" s="37" t="s">
        <v>55</v>
      </c>
      <c r="O13" s="37" t="s">
        <v>56</v>
      </c>
      <c r="P13" s="61" t="s">
        <v>57</v>
      </c>
    </row>
    <row r="14" spans="1:16" x14ac:dyDescent="0.2">
      <c r="A14" s="94">
        <v>1</v>
      </c>
      <c r="B14" s="95"/>
      <c r="C14" s="96" t="s">
        <v>58</v>
      </c>
      <c r="D14" s="25"/>
      <c r="E14" s="64"/>
      <c r="F14" s="65"/>
      <c r="G14" s="62"/>
      <c r="H14" s="47"/>
      <c r="I14" s="62"/>
      <c r="J14" s="62"/>
      <c r="K14" s="63">
        <f>SUM(H14:J14)</f>
        <v>0</v>
      </c>
      <c r="L14" s="65">
        <f>ROUND(E14*F14,2)</f>
        <v>0</v>
      </c>
      <c r="M14" s="62">
        <f>ROUND(H14*E14,2)</f>
        <v>0</v>
      </c>
      <c r="N14" s="62">
        <f>ROUND(I14*E14,2)</f>
        <v>0</v>
      </c>
      <c r="O14" s="62">
        <f>ROUND(J14*E14,2)</f>
        <v>0</v>
      </c>
      <c r="P14" s="63">
        <f>SUM(M14:O14)</f>
        <v>0</v>
      </c>
    </row>
    <row r="15" spans="1:16" ht="22.5" x14ac:dyDescent="0.2">
      <c r="A15" s="38">
        <v>1</v>
      </c>
      <c r="B15" s="39"/>
      <c r="C15" s="93" t="s">
        <v>289</v>
      </c>
      <c r="D15" s="25" t="s">
        <v>104</v>
      </c>
      <c r="E15" s="98">
        <f>4*0.9*12*0.12</f>
        <v>5.18</v>
      </c>
      <c r="F15" s="65"/>
      <c r="G15" s="62"/>
      <c r="H15" s="47">
        <f t="shared" ref="H15" si="0">ROUND(F15*G15,2)</f>
        <v>0</v>
      </c>
      <c r="I15" s="62"/>
      <c r="J15" s="62"/>
      <c r="K15" s="48">
        <f t="shared" ref="K15:K35" si="1">SUM(H15:J15)</f>
        <v>0</v>
      </c>
      <c r="L15" s="49">
        <f t="shared" ref="L15:L35" si="2">ROUND(E15*F15,2)</f>
        <v>0</v>
      </c>
      <c r="M15" s="47">
        <f t="shared" ref="M15:M35" si="3">ROUND(H15*E15,2)</f>
        <v>0</v>
      </c>
      <c r="N15" s="47">
        <f t="shared" ref="N15:N35" si="4">ROUND(I15*E15,2)</f>
        <v>0</v>
      </c>
      <c r="O15" s="47">
        <f t="shared" ref="O15:O35" si="5">ROUND(J15*E15,2)</f>
        <v>0</v>
      </c>
      <c r="P15" s="48">
        <f t="shared" ref="P15:P35" si="6">SUM(M15:O15)</f>
        <v>0</v>
      </c>
    </row>
    <row r="16" spans="1:16" ht="33.75" x14ac:dyDescent="0.2">
      <c r="A16" s="38">
        <v>2</v>
      </c>
      <c r="B16" s="39"/>
      <c r="C16" s="93" t="s">
        <v>290</v>
      </c>
      <c r="D16" s="25" t="s">
        <v>95</v>
      </c>
      <c r="E16" s="98">
        <v>36</v>
      </c>
      <c r="F16" s="65"/>
      <c r="G16" s="62"/>
      <c r="H16" s="47">
        <f>ROUND(F16*G16,2)</f>
        <v>0</v>
      </c>
      <c r="I16" s="62"/>
      <c r="J16" s="62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22" x14ac:dyDescent="0.2">
      <c r="A17" s="94">
        <v>2</v>
      </c>
      <c r="B17" s="95"/>
      <c r="C17" s="96" t="s">
        <v>291</v>
      </c>
      <c r="D17" s="25"/>
      <c r="E17" s="98"/>
      <c r="F17" s="65"/>
      <c r="G17" s="62"/>
      <c r="H17" s="47"/>
      <c r="I17" s="62"/>
      <c r="J17" s="62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22" ht="22.5" x14ac:dyDescent="0.2">
      <c r="A18" s="38">
        <v>1</v>
      </c>
      <c r="B18" s="39"/>
      <c r="C18" s="93" t="s">
        <v>292</v>
      </c>
      <c r="D18" s="25" t="s">
        <v>85</v>
      </c>
      <c r="E18" s="98">
        <v>12</v>
      </c>
      <c r="F18" s="65"/>
      <c r="G18" s="62"/>
      <c r="H18" s="47">
        <f t="shared" ref="H18:H19" si="7">ROUND(F18*G18,2)</f>
        <v>0</v>
      </c>
      <c r="I18" s="62"/>
      <c r="J18" s="62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22" x14ac:dyDescent="0.2">
      <c r="A19" s="38">
        <v>2</v>
      </c>
      <c r="B19" s="39"/>
      <c r="C19" s="93" t="s">
        <v>293</v>
      </c>
      <c r="D19" s="25" t="s">
        <v>104</v>
      </c>
      <c r="E19" s="98">
        <f>E15</f>
        <v>5.18</v>
      </c>
      <c r="F19" s="65"/>
      <c r="G19" s="62"/>
      <c r="H19" s="47">
        <f t="shared" si="7"/>
        <v>0</v>
      </c>
      <c r="I19" s="62"/>
      <c r="J19" s="62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22" ht="22.5" x14ac:dyDescent="0.2">
      <c r="A20" s="38">
        <v>3</v>
      </c>
      <c r="B20" s="39"/>
      <c r="C20" s="97" t="s">
        <v>294</v>
      </c>
      <c r="D20" s="25" t="s">
        <v>95</v>
      </c>
      <c r="E20" s="98">
        <f>E19*400*1.05</f>
        <v>2175.6</v>
      </c>
      <c r="F20" s="65"/>
      <c r="G20" s="62"/>
      <c r="H20" s="47"/>
      <c r="I20" s="62"/>
      <c r="J20" s="62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22" x14ac:dyDescent="0.2">
      <c r="A21" s="38">
        <v>4</v>
      </c>
      <c r="B21" s="39"/>
      <c r="C21" s="97" t="s">
        <v>295</v>
      </c>
      <c r="D21" s="25" t="s">
        <v>104</v>
      </c>
      <c r="E21" s="98">
        <f>E19*0.12</f>
        <v>0.62</v>
      </c>
      <c r="F21" s="65"/>
      <c r="G21" s="62"/>
      <c r="H21" s="47"/>
      <c r="I21" s="62"/>
      <c r="J21" s="62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22" x14ac:dyDescent="0.2">
      <c r="A22" s="38">
        <v>5</v>
      </c>
      <c r="B22" s="39"/>
      <c r="C22" s="97" t="s">
        <v>145</v>
      </c>
      <c r="D22" s="25" t="s">
        <v>85</v>
      </c>
      <c r="E22" s="98">
        <v>1</v>
      </c>
      <c r="F22" s="65"/>
      <c r="G22" s="62"/>
      <c r="H22" s="47"/>
      <c r="I22" s="62"/>
      <c r="J22" s="62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22" ht="14.25" x14ac:dyDescent="0.2">
      <c r="A23" s="38">
        <v>6</v>
      </c>
      <c r="B23" s="39"/>
      <c r="C23" s="93" t="s">
        <v>296</v>
      </c>
      <c r="D23" s="25" t="s">
        <v>60</v>
      </c>
      <c r="E23" s="98">
        <v>28.8</v>
      </c>
      <c r="F23" s="65"/>
      <c r="G23" s="62"/>
      <c r="H23" s="47">
        <f>ROUND(F23*G23,2)</f>
        <v>0</v>
      </c>
      <c r="I23" s="62"/>
      <c r="J23" s="62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  <c r="Q23" s="103"/>
      <c r="R23" s="174"/>
      <c r="S23" s="174"/>
      <c r="T23" s="174"/>
      <c r="U23" s="174"/>
      <c r="V23" s="105"/>
    </row>
    <row r="24" spans="1:22" x14ac:dyDescent="0.2">
      <c r="A24" s="38">
        <v>7</v>
      </c>
      <c r="B24" s="39"/>
      <c r="C24" s="97" t="s">
        <v>297</v>
      </c>
      <c r="D24" s="25" t="s">
        <v>60</v>
      </c>
      <c r="E24" s="98">
        <f>E23*1.15</f>
        <v>33.119999999999997</v>
      </c>
      <c r="F24" s="65"/>
      <c r="G24" s="62"/>
      <c r="H24" s="47"/>
      <c r="I24" s="62"/>
      <c r="J24" s="62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  <c r="Q24" s="104"/>
      <c r="R24" s="105"/>
    </row>
    <row r="25" spans="1:22" x14ac:dyDescent="0.2">
      <c r="A25" s="38">
        <v>8</v>
      </c>
      <c r="B25" s="39"/>
      <c r="C25" s="97" t="s">
        <v>298</v>
      </c>
      <c r="D25" s="25" t="s">
        <v>66</v>
      </c>
      <c r="E25" s="98">
        <f>E23*14*1.5</f>
        <v>604.79999999999995</v>
      </c>
      <c r="F25" s="65"/>
      <c r="G25" s="62"/>
      <c r="H25" s="47"/>
      <c r="I25" s="62"/>
      <c r="J25" s="62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  <c r="Q25" s="104"/>
      <c r="R25" s="105"/>
    </row>
    <row r="26" spans="1:22" x14ac:dyDescent="0.2">
      <c r="A26" s="38">
        <v>9</v>
      </c>
      <c r="B26" s="39"/>
      <c r="C26" s="97" t="s">
        <v>145</v>
      </c>
      <c r="D26" s="25" t="s">
        <v>85</v>
      </c>
      <c r="E26" s="98">
        <v>1</v>
      </c>
      <c r="F26" s="65"/>
      <c r="G26" s="62"/>
      <c r="H26" s="47"/>
      <c r="I26" s="62"/>
      <c r="J26" s="62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  <c r="Q26" s="104"/>
      <c r="R26" s="105"/>
    </row>
    <row r="27" spans="1:22" ht="22.5" x14ac:dyDescent="0.2">
      <c r="A27" s="38">
        <v>10</v>
      </c>
      <c r="B27" s="39"/>
      <c r="C27" s="93" t="s">
        <v>299</v>
      </c>
      <c r="D27" s="25" t="s">
        <v>60</v>
      </c>
      <c r="E27" s="98">
        <f>E23</f>
        <v>28.8</v>
      </c>
      <c r="F27" s="65"/>
      <c r="G27" s="62"/>
      <c r="H27" s="47">
        <f t="shared" ref="H27" si="8">ROUND(F27*G27,2)</f>
        <v>0</v>
      </c>
      <c r="I27" s="62"/>
      <c r="J27" s="62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  <c r="Q27" s="103"/>
      <c r="R27" s="105"/>
    </row>
    <row r="28" spans="1:22" ht="22.5" x14ac:dyDescent="0.2">
      <c r="A28" s="38">
        <v>11</v>
      </c>
      <c r="B28" s="39"/>
      <c r="C28" s="97" t="s">
        <v>64</v>
      </c>
      <c r="D28" s="25" t="s">
        <v>60</v>
      </c>
      <c r="E28" s="98">
        <f>E27*1.15</f>
        <v>33.119999999999997</v>
      </c>
      <c r="F28" s="65"/>
      <c r="G28" s="62"/>
      <c r="H28" s="47"/>
      <c r="I28" s="62"/>
      <c r="J28" s="62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  <c r="Q28" s="104"/>
      <c r="R28" s="105"/>
    </row>
    <row r="29" spans="1:22" x14ac:dyDescent="0.2">
      <c r="A29" s="38">
        <v>12</v>
      </c>
      <c r="B29" s="39"/>
      <c r="C29" s="97" t="s">
        <v>141</v>
      </c>
      <c r="D29" s="25" t="s">
        <v>66</v>
      </c>
      <c r="E29" s="98">
        <f>E27*5</f>
        <v>144</v>
      </c>
      <c r="F29" s="65"/>
      <c r="G29" s="62"/>
      <c r="H29" s="47"/>
      <c r="I29" s="62"/>
      <c r="J29" s="62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  <c r="Q29" s="104"/>
      <c r="R29" s="105"/>
    </row>
    <row r="30" spans="1:22" x14ac:dyDescent="0.2">
      <c r="A30" s="38">
        <v>13</v>
      </c>
      <c r="B30" s="39"/>
      <c r="C30" s="97" t="s">
        <v>67</v>
      </c>
      <c r="D30" s="25" t="s">
        <v>68</v>
      </c>
      <c r="E30" s="98">
        <v>1</v>
      </c>
      <c r="F30" s="65"/>
      <c r="G30" s="62"/>
      <c r="H30" s="47"/>
      <c r="I30" s="62"/>
      <c r="J30" s="62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  <c r="Q30" s="104"/>
      <c r="R30" s="105"/>
    </row>
    <row r="31" spans="1:22" ht="22.5" x14ac:dyDescent="0.2">
      <c r="A31" s="38">
        <v>14</v>
      </c>
      <c r="B31" s="39"/>
      <c r="C31" s="93" t="s">
        <v>300</v>
      </c>
      <c r="D31" s="25" t="s">
        <v>60</v>
      </c>
      <c r="E31" s="98">
        <f>E27</f>
        <v>28.8</v>
      </c>
      <c r="F31" s="65"/>
      <c r="G31" s="62"/>
      <c r="H31" s="47">
        <f t="shared" ref="H31" si="9">ROUND(F31*G31,2)</f>
        <v>0</v>
      </c>
      <c r="I31" s="62"/>
      <c r="J31" s="62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  <c r="Q31" s="103"/>
      <c r="R31" s="105"/>
    </row>
    <row r="32" spans="1:22" ht="22.5" x14ac:dyDescent="0.2">
      <c r="A32" s="38">
        <v>15</v>
      </c>
      <c r="B32" s="39"/>
      <c r="C32" s="97" t="s">
        <v>74</v>
      </c>
      <c r="D32" s="25" t="s">
        <v>60</v>
      </c>
      <c r="E32" s="98">
        <f>E31*1.15</f>
        <v>33.119999999999997</v>
      </c>
      <c r="F32" s="65"/>
      <c r="G32" s="62"/>
      <c r="H32" s="47"/>
      <c r="I32" s="62"/>
      <c r="J32" s="62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  <c r="Q32" s="104"/>
      <c r="R32" s="105"/>
    </row>
    <row r="33" spans="1:16" x14ac:dyDescent="0.2">
      <c r="A33" s="38">
        <v>16</v>
      </c>
      <c r="B33" s="39"/>
      <c r="C33" s="97" t="s">
        <v>72</v>
      </c>
      <c r="D33" s="25" t="s">
        <v>68</v>
      </c>
      <c r="E33" s="98">
        <v>1</v>
      </c>
      <c r="F33" s="65"/>
      <c r="G33" s="62"/>
      <c r="H33" s="47"/>
      <c r="I33" s="62"/>
      <c r="J33" s="62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33.75" x14ac:dyDescent="0.2">
      <c r="A34" s="38">
        <v>17</v>
      </c>
      <c r="B34" s="39"/>
      <c r="C34" s="93" t="s">
        <v>301</v>
      </c>
      <c r="D34" s="25" t="s">
        <v>85</v>
      </c>
      <c r="E34" s="98">
        <v>12</v>
      </c>
      <c r="F34" s="65"/>
      <c r="G34" s="62"/>
      <c r="H34" s="47">
        <f t="shared" ref="H34:H35" si="10">ROUND(F34*G34,2)</f>
        <v>0</v>
      </c>
      <c r="I34" s="62"/>
      <c r="J34" s="62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34.5" thickBot="1" x14ac:dyDescent="0.25">
      <c r="A35" s="38">
        <v>18</v>
      </c>
      <c r="B35" s="39"/>
      <c r="C35" s="93" t="s">
        <v>302</v>
      </c>
      <c r="D35" s="25" t="s">
        <v>95</v>
      </c>
      <c r="E35" s="98">
        <v>36</v>
      </c>
      <c r="F35" s="65"/>
      <c r="G35" s="62"/>
      <c r="H35" s="47">
        <f t="shared" si="10"/>
        <v>0</v>
      </c>
      <c r="I35" s="62"/>
      <c r="J35" s="62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12" customHeight="1" thickBot="1" x14ac:dyDescent="0.25">
      <c r="A36" s="156" t="s">
        <v>88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8"/>
      <c r="L36" s="66">
        <f>SUM(L14:L35)</f>
        <v>0</v>
      </c>
      <c r="M36" s="67">
        <f>SUM(M14:M35)</f>
        <v>0</v>
      </c>
      <c r="N36" s="67">
        <f>SUM(N14:N35)</f>
        <v>0</v>
      </c>
      <c r="O36" s="67">
        <f>SUM(O14:O35)</f>
        <v>0</v>
      </c>
      <c r="P36" s="68">
        <f>SUM(P14:P35)</f>
        <v>0</v>
      </c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1.1" customHeight="1" x14ac:dyDescent="0.2">
      <c r="A39" s="1" t="s">
        <v>17</v>
      </c>
      <c r="B39" s="17"/>
      <c r="C39" s="107"/>
      <c r="D39" s="107"/>
      <c r="E39" s="107"/>
      <c r="F39" s="107"/>
      <c r="G39" s="107"/>
      <c r="H39" s="107"/>
      <c r="I39" s="17"/>
      <c r="J39" s="17"/>
      <c r="K39" s="17"/>
      <c r="L39" s="17"/>
      <c r="M39" s="17"/>
      <c r="N39" s="17"/>
      <c r="O39" s="17"/>
      <c r="P39" s="17"/>
    </row>
    <row r="40" spans="1:16" ht="11.1" customHeight="1" x14ac:dyDescent="0.2">
      <c r="A40" s="17"/>
      <c r="B40" s="17"/>
      <c r="C40" s="108" t="s">
        <v>18</v>
      </c>
      <c r="D40" s="108"/>
      <c r="E40" s="108"/>
      <c r="F40" s="108"/>
      <c r="G40" s="108"/>
      <c r="H40" s="108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" t="s">
        <v>19</v>
      </c>
      <c r="B43" s="17"/>
      <c r="C43" s="107"/>
      <c r="D43" s="107"/>
      <c r="E43" s="107"/>
      <c r="F43" s="107"/>
      <c r="G43" s="107"/>
      <c r="H43" s="107"/>
      <c r="I43" s="17"/>
      <c r="J43" s="17"/>
      <c r="K43" s="17"/>
      <c r="L43" s="17"/>
      <c r="M43" s="17"/>
      <c r="N43" s="17"/>
      <c r="O43" s="17"/>
      <c r="P43" s="17"/>
    </row>
    <row r="44" spans="1:16" ht="11.1" customHeight="1" x14ac:dyDescent="0.2">
      <c r="A44" s="17"/>
      <c r="B44" s="17"/>
      <c r="C44" s="108" t="s">
        <v>18</v>
      </c>
      <c r="D44" s="108"/>
      <c r="E44" s="108"/>
      <c r="F44" s="108"/>
      <c r="G44" s="108"/>
      <c r="H44" s="108"/>
      <c r="I44" s="17"/>
      <c r="J44" s="17"/>
      <c r="K44" s="17"/>
      <c r="L44" s="17"/>
      <c r="M44" s="17"/>
      <c r="N44" s="17"/>
      <c r="O44" s="17"/>
      <c r="P44" s="17"/>
    </row>
    <row r="45" spans="1:16" ht="11.1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85" t="s">
        <v>20</v>
      </c>
      <c r="B46" s="86"/>
      <c r="C46" s="90"/>
      <c r="D46" s="8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I48" s="17"/>
      <c r="J48" s="17"/>
      <c r="K48" s="17"/>
      <c r="L48" s="17"/>
      <c r="M48" s="17"/>
      <c r="N48" s="17"/>
      <c r="O48" s="17"/>
      <c r="P48" s="17"/>
    </row>
  </sheetData>
  <mergeCells count="23">
    <mergeCell ref="R23:U23"/>
    <mergeCell ref="C2:I2"/>
    <mergeCell ref="C3:I3"/>
    <mergeCell ref="D5:L5"/>
    <mergeCell ref="D6:L6"/>
    <mergeCell ref="D7:L7"/>
    <mergeCell ref="C4:I4"/>
    <mergeCell ref="D8:L8"/>
    <mergeCell ref="C39:H39"/>
    <mergeCell ref="C40:H40"/>
    <mergeCell ref="C44:H44"/>
    <mergeCell ref="C43:H43"/>
    <mergeCell ref="N9:O9"/>
    <mergeCell ref="C12:C13"/>
    <mergeCell ref="D12:D13"/>
    <mergeCell ref="E12:E13"/>
    <mergeCell ref="L12:P12"/>
    <mergeCell ref="A9:I9"/>
    <mergeCell ref="F12:K12"/>
    <mergeCell ref="J9:M9"/>
    <mergeCell ref="A36:K36"/>
    <mergeCell ref="A12:A13"/>
    <mergeCell ref="B12:B13"/>
  </mergeCells>
  <conditionalFormatting sqref="I14:J35 A14:G35">
    <cfRule type="cellIs" dxfId="92" priority="36" operator="equal">
      <formula>0</formula>
    </cfRule>
  </conditionalFormatting>
  <conditionalFormatting sqref="N9:O9 K14:P35 H14:H35">
    <cfRule type="cellIs" dxfId="91" priority="35" operator="equal">
      <formula>0</formula>
    </cfRule>
  </conditionalFormatting>
  <conditionalFormatting sqref="C2:I2">
    <cfRule type="cellIs" dxfId="90" priority="32" operator="equal">
      <formula>0</formula>
    </cfRule>
  </conditionalFormatting>
  <conditionalFormatting sqref="O10">
    <cfRule type="cellIs" dxfId="89" priority="31" operator="equal">
      <formula>"20__. gada __. _________"</formula>
    </cfRule>
  </conditionalFormatting>
  <conditionalFormatting sqref="L36:P36">
    <cfRule type="cellIs" dxfId="88" priority="25" operator="equal">
      <formula>0</formula>
    </cfRule>
  </conditionalFormatting>
  <conditionalFormatting sqref="C4:I4">
    <cfRule type="cellIs" dxfId="87" priority="24" operator="equal">
      <formula>0</formula>
    </cfRule>
  </conditionalFormatting>
  <conditionalFormatting sqref="D5:L8">
    <cfRule type="cellIs" dxfId="86" priority="20" operator="equal">
      <formula>0</formula>
    </cfRule>
  </conditionalFormatting>
  <conditionalFormatting sqref="P10">
    <cfRule type="cellIs" dxfId="85" priority="16" operator="equal">
      <formula>"20__. gada __. _________"</formula>
    </cfRule>
  </conditionalFormatting>
  <conditionalFormatting sqref="D1">
    <cfRule type="cellIs" dxfId="84" priority="10" operator="equal">
      <formula>0</formula>
    </cfRule>
  </conditionalFormatting>
  <conditionalFormatting sqref="A9">
    <cfRule type="containsText" dxfId="83" priority="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6:K36">
    <cfRule type="containsText" dxfId="82" priority="5" operator="containsText" text="Tiešās izmaksas kopā, t. sk. darba devēja sociālais nodoklis __.__% ">
      <formula>NOT(ISERROR(SEARCH("Tiešās izmaksas kopā, t. sk. darba devēja sociālais nodoklis __.__% ",A36)))</formula>
    </cfRule>
  </conditionalFormatting>
  <conditionalFormatting sqref="C43:H43">
    <cfRule type="cellIs" dxfId="81" priority="4" operator="equal">
      <formula>0</formula>
    </cfRule>
  </conditionalFormatting>
  <conditionalFormatting sqref="C39:H39">
    <cfRule type="cellIs" dxfId="80" priority="3" operator="equal">
      <formula>0</formula>
    </cfRule>
  </conditionalFormatting>
  <conditionalFormatting sqref="C46">
    <cfRule type="cellIs" dxfId="79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6E5541F6-6641-9C4C-BCD3-DAA54D599EEB}">
            <xm:f>NOT(ISERROR(SEARCH("Sertifikāta Nr. _________________________________",A46)))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4E02CC5D871C2409F82085B606342B3" ma:contentTypeVersion="18" ma:contentTypeDescription="Izveidot jaunu dokumentu." ma:contentTypeScope="" ma:versionID="8fae650b60a89239ac4829f1cd2c7579">
  <xsd:schema xmlns:xsd="http://www.w3.org/2001/XMLSchema" xmlns:xs="http://www.w3.org/2001/XMLSchema" xmlns:p="http://schemas.microsoft.com/office/2006/metadata/properties" xmlns:ns2="9deb0d30-f5bf-4ce5-82b0-be5350fbd051" xmlns:ns3="fa24ca46-d010-420e-9395-1a8a65a3b759" targetNamespace="http://schemas.microsoft.com/office/2006/metadata/properties" ma:root="true" ma:fieldsID="f1d9b371e33f9705ce79ee7f30cfe40a" ns2:_="" ns3:_="">
    <xsd:import namespace="9deb0d30-f5bf-4ce5-82b0-be5350fbd051"/>
    <xsd:import namespace="fa24ca46-d010-420e-9395-1a8a65a3b7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j5p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Dokumentuveid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b0d30-f5bf-4ce5-82b0-be5350fbd0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Pēdējo reizi kopīgoja lietotājs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Pēdējo reizi kopīgots pēc laik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4ca46-d010-420e-9395-1a8a65a3b7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j5pa" ma:index="14" nillable="true" ma:displayName="Datums un laiks" ma:internalName="j5pa">
      <xsd:simpleType>
        <xsd:restriction base="dms:DateTim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Dokumentuveids" ma:index="21" nillable="true" ma:displayName="Dokumentu veids" ma:description="Šī kolonna parāda mapē esošo dokumentu veidu" ma:format="Dropdown" ma:internalName="Dokumentuveids">
      <xsd:simpleType>
        <xsd:restriction base="dms:Choice">
          <xsd:enumeration value="Atskaites"/>
          <xsd:enumeration value="Darbu uzdevumi"/>
          <xsd:enumeration value="Lēmumi"/>
          <xsd:enumeration value="Līgumi"/>
          <xsd:enumeration value="Dažādi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_Flow_SignoffStatus" ma:index="25" nillable="true" ma:displayName="Parakstīšanas statuss" ma:internalName="Parakst_x012b__x0161_anas_x0020_status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uveids xmlns="fa24ca46-d010-420e-9395-1a8a65a3b759" xsi:nil="true"/>
    <j5pa xmlns="fa24ca46-d010-420e-9395-1a8a65a3b759" xsi:nil="true"/>
    <_Flow_SignoffStatus xmlns="fa24ca46-d010-420e-9395-1a8a65a3b759" xsi:nil="true"/>
  </documentManagement>
</p:properties>
</file>

<file path=customXml/itemProps1.xml><?xml version="1.0" encoding="utf-8"?>
<ds:datastoreItem xmlns:ds="http://schemas.openxmlformats.org/officeDocument/2006/customXml" ds:itemID="{BBE2EAED-D38F-4DDA-8D9B-623449D902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B396E4-245F-49B2-92B6-2796BA252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eb0d30-f5bf-4ce5-82b0-be5350fbd051"/>
    <ds:schemaRef ds:uri="fa24ca46-d010-420e-9395-1a8a65a3b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1DE9A7-D8B3-4546-8C4E-8845BA51BC4E}">
  <ds:schemaRefs>
    <ds:schemaRef ds:uri="http://schemas.microsoft.com/office/2006/metadata/properties"/>
    <ds:schemaRef ds:uri="http://schemas.microsoft.com/office/infopath/2007/PartnerControls"/>
    <ds:schemaRef ds:uri="fa24ca46-d010-420e-9395-1a8a65a3b7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  <vt:lpstr>11a</vt:lpstr>
      <vt:lpstr>12a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Armands Ūbelis</dc:creator>
  <cp:keywords/>
  <dc:description/>
  <cp:lastModifiedBy>Baiba Cīrule</cp:lastModifiedBy>
  <cp:revision/>
  <dcterms:created xsi:type="dcterms:W3CDTF">2019-03-11T11:42:22Z</dcterms:created>
  <dcterms:modified xsi:type="dcterms:W3CDTF">2021-12-29T07:47:06Z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0x010100E4E02CC5D871C2409F82085B606342B3</vt:lpwstr>
  </property>
</Properties>
</file>